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06Rhgf8OJyxfWPhvh4uBsY4kO0JZPgWMxbel1AD22xGrnijWSjAn0YvZsKfoZOKkcpP7ewF6RPbipVV+nfmo8Q==" workbookSaltValue="wX7L62yQSHNFYrDDgz3R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S14" i="12" s="1"/>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AY20" i="8" s="1"/>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T14" i="12"/>
  <c r="T14" i="16"/>
  <c r="BF16" i="8"/>
  <c r="AY14" i="8"/>
  <c r="BD9" i="8"/>
  <c r="E14" i="17"/>
  <c r="AH14" i="16"/>
  <c r="T14" i="20"/>
  <c r="T20" i="17"/>
  <c r="BG16" i="13"/>
  <c r="BB20" i="13"/>
  <c r="BE17" i="13"/>
  <c r="BF17" i="13"/>
  <c r="K22" i="20"/>
  <c r="Y22" i="20"/>
  <c r="AC22" i="20"/>
  <c r="AA22" i="20"/>
  <c r="U12" i="11"/>
  <c r="AQ22" i="21"/>
  <c r="U17" i="11"/>
  <c r="AQ22" i="20"/>
  <c r="G14" i="14"/>
  <c r="W22" i="20"/>
  <c r="U10" i="11"/>
  <c r="W22" i="21"/>
  <c r="U18" i="11"/>
  <c r="AL22" i="20"/>
  <c r="AE22" i="20"/>
  <c r="AG22" i="20"/>
  <c r="L22" i="20"/>
  <c r="M22" i="20"/>
  <c r="N22" i="20"/>
  <c r="AF22" i="20"/>
  <c r="AE21" i="8" l="1"/>
  <c r="BG16" i="8"/>
  <c r="K16" i="7" s="1"/>
  <c r="F14" i="7"/>
  <c r="BG10" i="8"/>
  <c r="BE9" i="8"/>
  <c r="R21" i="8"/>
  <c r="F13" i="2"/>
  <c r="H12" i="2"/>
  <c r="AL16" i="11"/>
  <c r="M20" i="2"/>
  <c r="N20" i="2"/>
  <c r="BE16" i="13"/>
  <c r="BF16" i="13"/>
  <c r="R13" i="17"/>
  <c r="BD17" i="13"/>
  <c r="I13" i="14"/>
  <c r="R8" i="9"/>
  <c r="F11" i="16"/>
  <c r="BL11" i="16" s="1"/>
  <c r="X12" i="21"/>
  <c r="BH9" i="16"/>
  <c r="BL9" i="11"/>
  <c r="BH18" i="16"/>
  <c r="Q18" i="20"/>
  <c r="Q20" i="20" s="1"/>
  <c r="BK19" i="11"/>
  <c r="V12" i="21"/>
  <c r="BF11" i="11"/>
  <c r="V16" i="11"/>
  <c r="BJ18" i="11"/>
  <c r="BF19" i="11"/>
  <c r="BJ19" i="11"/>
  <c r="BL18" i="11"/>
  <c r="BF17" i="11"/>
  <c r="S18" i="16"/>
  <c r="BK11" i="11"/>
  <c r="BI10" i="11"/>
  <c r="BH9" i="11"/>
  <c r="BJ11" i="11"/>
  <c r="R10" i="21"/>
  <c r="R14" i="21" s="1"/>
  <c r="BG9" i="11"/>
  <c r="BH13" i="11"/>
  <c r="BH18" i="11"/>
  <c r="AZ9" i="11"/>
  <c r="AZ21" i="11" s="1"/>
  <c r="AZ16" i="11"/>
  <c r="AZ20" i="11" s="1"/>
  <c r="BW19" i="20"/>
  <c r="BW18" i="20"/>
  <c r="BV12" i="16"/>
  <c r="BV11" i="16"/>
  <c r="BU9" i="17"/>
  <c r="BW10" i="20"/>
  <c r="S11" i="17"/>
  <c r="AA17" i="16"/>
  <c r="AZ12" i="11"/>
  <c r="X18" i="17"/>
  <c r="P16" i="17"/>
  <c r="BL16" i="11"/>
  <c r="BJ10" i="11"/>
  <c r="BH11" i="11"/>
  <c r="S18" i="17"/>
  <c r="BH12" i="16"/>
  <c r="S16" i="17"/>
  <c r="X19" i="16"/>
  <c r="L19" i="2"/>
  <c r="L9" i="2"/>
  <c r="BG10" i="11"/>
  <c r="BF18" i="11"/>
  <c r="BF10" i="11"/>
  <c r="V18" i="16"/>
  <c r="R13" i="14"/>
  <c r="S13" i="14"/>
  <c r="V13" i="14" s="1"/>
  <c r="R10" i="14"/>
  <c r="R17" i="14"/>
  <c r="AM9" i="11"/>
  <c r="V13" i="16"/>
  <c r="X12" i="17"/>
  <c r="AA9" i="16"/>
  <c r="T18" i="20"/>
  <c r="X19" i="20"/>
  <c r="AA12" i="21"/>
  <c r="AZ18" i="11"/>
  <c r="X9" i="16"/>
  <c r="X21" i="16" s="1"/>
  <c r="X12" i="16"/>
  <c r="S19" i="14"/>
  <c r="V19" i="14" s="1"/>
  <c r="R11" i="14"/>
  <c r="AO17" i="17"/>
  <c r="T19" i="11"/>
  <c r="S16" i="14"/>
  <c r="V16" i="14" s="1"/>
  <c r="T18" i="11"/>
  <c r="X13" i="17"/>
  <c r="AA18" i="16"/>
  <c r="X11" i="17"/>
  <c r="V16" i="16"/>
  <c r="L16" i="2"/>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H10" i="2"/>
  <c r="E17" i="6"/>
  <c r="AO18" i="11"/>
  <c r="AO16" i="11"/>
  <c r="AO18" i="17"/>
  <c r="BM21" i="8"/>
  <c r="C13" i="14"/>
  <c r="K13" i="14" s="1"/>
  <c r="C10" i="14"/>
  <c r="K10" i="14" s="1"/>
  <c r="J13" i="2"/>
  <c r="H9" i="7"/>
  <c r="E11" i="6"/>
  <c r="C12" i="6"/>
  <c r="C18" i="6"/>
  <c r="AN10" i="11"/>
  <c r="H18" i="2"/>
  <c r="T10" i="2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B11" i="6"/>
  <c r="L11" i="14"/>
  <c r="AL11" i="11"/>
  <c r="AO11" i="11"/>
  <c r="AO9" i="17"/>
  <c r="AO9" i="11"/>
  <c r="G14" i="2"/>
  <c r="L12" i="14"/>
  <c r="AM12" i="11"/>
  <c r="E9" i="6"/>
  <c r="I9" i="7"/>
  <c r="J9" i="7"/>
  <c r="K12" i="7"/>
  <c r="K10" i="7"/>
  <c r="I20" i="2"/>
  <c r="B12" i="6"/>
  <c r="AL12" i="11"/>
  <c r="I14" i="2"/>
  <c r="J14" i="2" s="1"/>
  <c r="C11" i="6"/>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12"/>
  <c r="R21" i="21"/>
  <c r="K17" i="7"/>
  <c r="BK16" i="11"/>
  <c r="AP10" i="21"/>
  <c r="V13" i="11"/>
  <c r="BI16" i="11"/>
  <c r="BM13" i="11"/>
  <c r="Q13" i="11" s="1"/>
  <c r="AP16" i="20"/>
  <c r="BL11" i="11"/>
  <c r="BL13" i="11"/>
  <c r="BM16" i="11"/>
  <c r="P16" i="11" s="1"/>
  <c r="T16" i="16"/>
  <c r="BV19" i="16"/>
  <c r="BV13" i="16"/>
  <c r="BV17" i="16"/>
  <c r="BV16" i="16"/>
  <c r="BW11" i="20"/>
  <c r="BV10" i="16"/>
  <c r="V12" i="16"/>
  <c r="BV9" i="16"/>
  <c r="T17" i="11"/>
  <c r="Q18" i="17"/>
  <c r="BI9" i="11"/>
  <c r="S10" i="17"/>
  <c r="Q16" i="17"/>
  <c r="Q20" i="17" s="1"/>
  <c r="BF16" i="11"/>
  <c r="AQ12" i="21"/>
  <c r="BL17" i="11"/>
  <c r="L17" i="2"/>
  <c r="V10" i="16"/>
  <c r="X13" i="16"/>
  <c r="S9" i="17"/>
  <c r="BM12" i="11"/>
  <c r="S9" i="14"/>
  <c r="V9" i="14" s="1"/>
  <c r="BI19" i="11"/>
  <c r="BJ12" i="11"/>
  <c r="BG16" i="11"/>
  <c r="AQ14" i="21"/>
  <c r="BG19" i="11"/>
  <c r="T18" i="16"/>
  <c r="BU16" i="17"/>
  <c r="BW9" i="20"/>
  <c r="BW13" i="20"/>
  <c r="BW17" i="20"/>
  <c r="U13" i="17"/>
  <c r="U10" i="17"/>
  <c r="BU18" i="17"/>
  <c r="BU17" i="17"/>
  <c r="S11" i="14"/>
  <c r="V11" i="14" s="1"/>
  <c r="BG12" i="11"/>
  <c r="BH10" i="11"/>
  <c r="AQ10" i="21"/>
  <c r="BH10" i="16"/>
  <c r="BM18" i="11"/>
  <c r="BH17" i="11"/>
  <c r="BH20" i="11" s="1"/>
  <c r="BJ17" i="11"/>
  <c r="S17" i="17"/>
  <c r="L13" i="2"/>
  <c r="X16" i="16"/>
  <c r="X20" i="16" s="1"/>
  <c r="AA16" i="16"/>
  <c r="AP17" i="20"/>
  <c r="BL19" i="11"/>
  <c r="BK13" i="11"/>
  <c r="BM17" i="11"/>
  <c r="V11" i="16"/>
  <c r="BK9" i="11"/>
  <c r="T9" i="11"/>
  <c r="BH11" i="16"/>
  <c r="BF13" i="11"/>
  <c r="BH16" i="11"/>
  <c r="BH19" i="16"/>
  <c r="P18" i="17"/>
  <c r="P20" i="17" s="1"/>
  <c r="P21" i="17" s="1"/>
  <c r="BK12" i="11"/>
  <c r="AO16" i="17"/>
  <c r="BL12" i="11"/>
  <c r="V11" i="11"/>
  <c r="Q10" i="21"/>
  <c r="V9" i="11"/>
  <c r="BJ16" i="11"/>
  <c r="BJ20" i="11" s="1"/>
  <c r="BI18" i="11"/>
  <c r="AZ13" i="11"/>
  <c r="R18" i="20"/>
  <c r="R20" i="20" s="1"/>
  <c r="BK18" i="11"/>
  <c r="AP18" i="20"/>
  <c r="BU11" i="17"/>
  <c r="BV18" i="16"/>
  <c r="BU10" i="17"/>
  <c r="BU23" i="17" s="1"/>
  <c r="BW12" i="20"/>
  <c r="BW16" i="20"/>
  <c r="BU19" i="17"/>
  <c r="BU13" i="17"/>
  <c r="BU12" i="17"/>
  <c r="AZ17" i="11"/>
  <c r="AZ11" i="11"/>
  <c r="S16" i="16"/>
  <c r="S20" i="16" s="1"/>
  <c r="BF12" i="11"/>
  <c r="BL10" i="11"/>
  <c r="BK17" i="11"/>
  <c r="BG17" i="11"/>
  <c r="Q17" i="11" s="1"/>
  <c r="BM9" i="11"/>
  <c r="Q9" i="11" s="1"/>
  <c r="BK10" i="11"/>
  <c r="L12" i="2"/>
  <c r="L18" i="2"/>
  <c r="U9" i="17"/>
  <c r="U21" i="17" s="1"/>
  <c r="V9" i="16"/>
  <c r="BH16" i="16"/>
  <c r="BH19" i="11"/>
  <c r="AZ19" i="11"/>
  <c r="S13" i="17"/>
  <c r="S10" i="14"/>
  <c r="V10" i="14" s="1"/>
  <c r="S18" i="14"/>
  <c r="V18" i="14" s="1"/>
  <c r="R12" i="14"/>
  <c r="R19" i="14"/>
  <c r="R20" i="14" s="1"/>
  <c r="T13" i="11"/>
  <c r="X17" i="17"/>
  <c r="X16" i="17"/>
  <c r="AA11" i="16"/>
  <c r="X18" i="20"/>
  <c r="U10" i="21"/>
  <c r="V19" i="16"/>
  <c r="L11" i="2"/>
  <c r="V16" i="20"/>
  <c r="V20" i="20" s="1"/>
  <c r="S12" i="14"/>
  <c r="V12" i="14" s="1"/>
  <c r="S17" i="14"/>
  <c r="V17" i="14" s="1"/>
  <c r="R18" i="14"/>
  <c r="T12" i="11"/>
  <c r="T11" i="11"/>
  <c r="T16" i="11"/>
  <c r="AA10" i="16"/>
  <c r="X10" i="17"/>
  <c r="X9" i="17"/>
  <c r="X17" i="20"/>
  <c r="L10" i="2"/>
  <c r="T19" i="20"/>
  <c r="AO12" i="17"/>
  <c r="AM16" i="11"/>
  <c r="AM13" i="11"/>
  <c r="AO10" i="17"/>
  <c r="AM11" i="11"/>
  <c r="X10" i="21"/>
  <c r="K9" i="12"/>
  <c r="V10" i="21"/>
  <c r="I12" i="7"/>
  <c r="C14" i="6"/>
  <c r="AB21" i="21"/>
  <c r="H21" i="21"/>
  <c r="K19" i="12"/>
  <c r="I11" i="12"/>
  <c r="AV14" i="16"/>
  <c r="BG14" i="13"/>
  <c r="AK21" i="13"/>
  <c r="BC21" i="13"/>
  <c r="BD14" i="13"/>
  <c r="BM21" i="13"/>
  <c r="AD21" i="13"/>
  <c r="AI21" i="13"/>
  <c r="L21" i="13"/>
  <c r="N21" i="13"/>
  <c r="BD10" i="13"/>
  <c r="K16" i="12"/>
  <c r="K10" i="12"/>
  <c r="I9" i="12"/>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P17" i="11"/>
  <c r="Y13" i="11"/>
  <c r="Y14" i="11" s="1"/>
  <c r="AP13" i="11"/>
  <c r="AC17" i="11"/>
  <c r="K14" i="11"/>
  <c r="N20" i="11"/>
  <c r="Q20" i="11" s="1"/>
  <c r="P12" i="11"/>
  <c r="AZ10" i="11"/>
  <c r="AT20" i="11"/>
  <c r="M14" i="11"/>
  <c r="L14" i="11"/>
  <c r="AP17" i="11"/>
  <c r="Z20" i="11"/>
  <c r="AB14" i="11"/>
  <c r="AQ13"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M20" i="14"/>
  <c r="U23" i="11"/>
  <c r="U14" i="11"/>
  <c r="V14" i="11" s="1"/>
  <c r="U21" i="11"/>
  <c r="V21" i="11" s="1"/>
  <c r="V10" i="11"/>
  <c r="V12" i="11"/>
  <c r="O14" i="11"/>
  <c r="O21" i="11"/>
  <c r="AU22" i="17"/>
  <c r="BR22" i="16"/>
  <c r="BP22" i="16"/>
  <c r="AX22" i="21"/>
  <c r="AO22" i="20"/>
  <c r="P22" i="20"/>
  <c r="I22" i="20"/>
  <c r="H22" i="17"/>
  <c r="J22" i="20"/>
  <c r="S22" i="20"/>
  <c r="AW22" i="11"/>
  <c r="AV22" i="21"/>
  <c r="D21" i="14" l="1"/>
  <c r="S21" i="16"/>
  <c r="BK14" i="11"/>
  <c r="BK21" i="11" s="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M21" i="11" l="1"/>
  <c r="BD21" i="8"/>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<sst xmlns="http://schemas.openxmlformats.org/spreadsheetml/2006/main" count="2215" uniqueCount="979">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</sst>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XJ/vmk8yturMnwF+d/w0GjNnRbGNfPNZgjvAwSZHefqSZO/9j2YZKYABDFxJ+6jZ1WnliLqFZiHpsUjYlAVcIA==" saltValue="Qj/1sInTk5JmTr6g0q/E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6</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19.03607666290868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67</v>
      </c>
      <c r="D10" s="230">
        <f>IF(ISNUMBER(Datos!I10),Datos!I10," - ")</f>
        <v>67</v>
      </c>
      <c r="E10" s="231">
        <f>IF(ISNUMBER(Datos!J10),Datos!J10," - ")</f>
        <v>37</v>
      </c>
      <c r="F10" s="231">
        <f>IF(ISNUMBER(Datos!K10),Datos!K10," - ")</f>
        <v>24</v>
      </c>
      <c r="G10" s="1193" t="str">
        <f>IF(Datos!E10&lt;&gt;"",Datos!E10,Datos!D10)</f>
        <v>37</v>
      </c>
      <c r="H10" s="232">
        <f>IF(ISNUMBER(Datos!L10),Datos!L10," - ")</f>
        <v>80</v>
      </c>
      <c r="I10" s="1203" t="str">
        <f>IF(ISNUMBER(Datos!AS10/Datos!BM10),Datos!AS10/Datos!BM10," - ")</f>
        <v xml:space="preserve"> - </v>
      </c>
      <c r="J10" s="1204">
        <f>IF(ISNUMBER(Datos!BY10/Datos!CN10),Datos!BY10/Datos!CN10," - ")</f>
        <v>0</v>
      </c>
      <c r="K10" s="235">
        <f t="shared" ref="K10:K13" si="1">IF(ISNUMBER((E10-F10)/C10),(E10-F10)/C10," - ")</f>
        <v>0.19402985074626866</v>
      </c>
      <c r="L10" s="1205">
        <f>IF(ISNUMBER(NºAsuntos!I10/NºAsuntos!G10),(NºAsuntos!I10/NºAsuntos!G10)*11," - ")</f>
        <v>36.666666666666671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0</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67</v>
      </c>
      <c r="D14" s="1210">
        <f>SUBTOTAL(9,D9:D13)</f>
        <v>67</v>
      </c>
      <c r="E14" s="1211">
        <f>SUBTOTAL(9,E9:E13)</f>
        <v>37</v>
      </c>
      <c r="F14" s="1212">
        <f>SUBTOTAL(9,F9:F13)</f>
        <v>24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3</v>
      </c>
      <c r="B16" s="1258" t="str">
        <f>Datos!A16</f>
        <v xml:space="preserve">Jdos. Instrucción                               </v>
      </c>
      <c r="C16" s="230">
        <f t="shared" ref="C16:C19" si="2">IF(ISNUMBER(H16-E16+F16),H16-E16+F16," - ")</f>
        <v>1495</v>
      </c>
      <c r="D16" s="230">
        <f>IF(ISNUMBER(IF(D_I="SI",Datos!I16,Datos!I16+Datos!AC16)),IF(D_I="SI",Datos!I16,Datos!I16+Datos!AC16)," - ")</f>
        <v>1386</v>
      </c>
      <c r="E16" s="231">
        <f>IF(ISNUMBER(IF(D_I="SI",Datos!J16,Datos!J16+Datos!AD16)),IF(D_I="SI",Datos!J16,Datos!J16+Datos!AD16)," - ")</f>
        <v>2008</v>
      </c>
      <c r="F16" s="231">
        <f>IF(ISNUMBER(IF(D_I="SI",Datos!K16,Datos!K16+Datos!AE16)),IF(D_I="SI",Datos!K16,Datos!K16+Datos!AE16)," - ")</f>
        <v>2010</v>
      </c>
      <c r="G16" s="1193" t="str">
        <f>IF(Datos!E16&lt;&gt;"",Datos!E16,Datos!D16)</f>
        <v>03</v>
      </c>
      <c r="H16" s="232">
        <f>IF(ISNUMBER(IF(D_I="SI",Datos!L16,Datos!L16+Datos!AF16)),IF(D_I="SI",Datos!L16,Datos!L16+Datos!AF16)," - ")</f>
        <v>1493</v>
      </c>
      <c r="I16" s="1203" t="str">
        <f>IF(ISNUMBER(Datos!AS16/Datos!BM16),Datos!AS16/Datos!BM16," - ")</f>
        <v xml:space="preserve"> - </v>
      </c>
      <c r="J16" s="1204">
        <f>IF(ISNUMBER(Datos!BY16/Datos!CN16),Datos!BY16/Datos!CN16," - ")</f>
        <v>0</v>
      </c>
      <c r="K16" s="235">
        <f t="shared" ref="K16:K19" si="3">IF(ISNUMBER((E16-F16)/C16),(E16-F16)/C16," - ")</f>
        <v>-1.3377926421404682E-3</v>
      </c>
      <c r="L16" s="1205">
        <f>IF(ISNUMBER(NºAsuntos!I16/NºAsuntos!G16),(NºAsuntos!I16/NºAsuntos!G16)*11," - ")</f>
        <v>8.1706467661691544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93</v>
      </c>
      <c r="D18" s="230">
        <f>IF(ISNUMBER(IF(D_I="SI",Datos!I18,Datos!I18+Datos!AC18)),IF(D_I="SI",Datos!I18,Datos!I18+Datos!AC18)," - ")</f>
        <v>92</v>
      </c>
      <c r="E18" s="231">
        <f>IF(ISNUMBER(IF(D_I="SI",Datos!J18,Datos!J18+Datos!AD18)),IF(D_I="SI",Datos!J18,Datos!J18+Datos!AD18)," - ")</f>
        <v>229</v>
      </c>
      <c r="F18" s="231">
        <f>IF(ISNUMBER(IF(D_I="SI",Datos!K18,Datos!K18+Datos!AE18)),IF(D_I="SI",Datos!K18,Datos!K18+Datos!AE18)," - ")</f>
        <v>222</v>
      </c>
      <c r="G18" s="1193" t="str">
        <f>IF(Datos!E18&lt;&gt;"",Datos!E18,Datos!D18)</f>
        <v>37</v>
      </c>
      <c r="H18" s="232">
        <f>IF(ISNUMBER(IF(D_I="SI",Datos!L18,Datos!L18+Datos!AF18)),IF(D_I="SI",Datos!L18,Datos!L18+Datos!AF18)," - ")</f>
        <v>100</v>
      </c>
      <c r="I18" s="1203" t="str">
        <f>IF(ISNUMBER(Datos!AS18/Datos!BM18),Datos!AS18/Datos!BM18," - ")</f>
        <v xml:space="preserve"> - </v>
      </c>
      <c r="J18" s="1204" t="str">
        <f>IF(ISNUMBER((Datos!BY18+Datos!BZ18)/Datos!CN18),(Datos!BY18+Datos!BZ18)/Datos!CN18," - ")</f>
        <v xml:space="preserve"> - </v>
      </c>
      <c r="K18" s="235">
        <f t="shared" si="3"/>
        <v>7.5268817204301078E-2</v>
      </c>
      <c r="L18" s="1205">
        <f>IF(ISNUMBER(NºAsuntos!I18/NºAsuntos!G18),(NºAsuntos!I18/NºAsuntos!G18)*11," - ")</f>
        <v>4.954954954954955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1588</v>
      </c>
      <c r="D20" s="1210">
        <f>SUBTOTAL(9,D16:D19)</f>
        <v>1478</v>
      </c>
      <c r="E20" s="1211">
        <f>SUBTOTAL(9,E16:E19)</f>
        <v>2237</v>
      </c>
      <c r="F20" s="1211">
        <f>SUBTOTAL(9,F16:F19)</f>
        <v>2232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1655</v>
      </c>
      <c r="D21" s="1232">
        <f>SUBTOTAL(9,D9:D20)</f>
        <v>1545</v>
      </c>
      <c r="E21" s="1233">
        <f>SUBTOTAL(9,E9:E20)</f>
        <v>2274</v>
      </c>
      <c r="F21" s="1233">
        <f>SUBTOTAL(9,F9:F20)</f>
        <v>2256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pdlo41vE3I97OFzY6nscyT/IdjFQ1BL0yi9FDg/GyPu51B8I+fV6rL+muPRnMpxGOk7r1yBO4SoSaet8R12A==" saltValue="PCqFt9/p0PXRSUW8FRwVy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L0YD0lOqsw4PQ0VxbYb2gEAr+FpVId3uJ3ek3jQdK8PHfEgKm9l2stVyT7H6epNoSwibBlsXVLcDDhWLv6pWUw==" saltValue="rYP3tKWHHte/1wcho2sT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4369</v>
      </c>
      <c r="J9" s="186">
        <v>2480</v>
      </c>
      <c r="K9" s="186">
        <v>2415</v>
      </c>
      <c r="L9" s="186">
        <v>4359</v>
      </c>
      <c r="M9" s="186">
        <v>339</v>
      </c>
      <c r="N9" s="186">
        <v>906</v>
      </c>
      <c r="O9" s="186">
        <v>1584</v>
      </c>
      <c r="P9" s="186">
        <v>597</v>
      </c>
      <c r="Q9" s="186">
        <v>985</v>
      </c>
      <c r="R9" s="186">
        <v>7967</v>
      </c>
      <c r="S9" s="186">
        <v>3860</v>
      </c>
      <c r="T9" s="186">
        <v>2028</v>
      </c>
      <c r="U9" s="186">
        <v>1972</v>
      </c>
      <c r="V9" s="186">
        <v>3924</v>
      </c>
      <c r="W9" s="186">
        <v>409</v>
      </c>
      <c r="X9" s="193">
        <v>828</v>
      </c>
      <c r="Y9" s="196">
        <v>236</v>
      </c>
      <c r="Z9" s="186">
        <v>243</v>
      </c>
      <c r="AA9" s="186">
        <v>246</v>
      </c>
      <c r="AB9" s="186">
        <v>246</v>
      </c>
      <c r="AC9" s="186">
        <v>0</v>
      </c>
      <c r="AD9" s="186">
        <v>0</v>
      </c>
      <c r="AE9" s="186">
        <v>0</v>
      </c>
      <c r="AF9" s="193">
        <v>0</v>
      </c>
      <c r="AG9" s="196">
        <v>266</v>
      </c>
      <c r="AH9" s="186">
        <v>226</v>
      </c>
      <c r="AI9" s="186">
        <v>248</v>
      </c>
      <c r="AJ9" s="197">
        <v>239</v>
      </c>
      <c r="AK9" s="185">
        <v>0</v>
      </c>
      <c r="AL9" s="186">
        <v>0</v>
      </c>
      <c r="AM9" s="186">
        <v>0</v>
      </c>
      <c r="AN9" s="193">
        <v>0</v>
      </c>
      <c r="AO9" s="263">
        <v>6</v>
      </c>
      <c r="AP9" s="159">
        <v>6</v>
      </c>
      <c r="AQ9" s="159">
        <v>6</v>
      </c>
      <c r="AR9" s="198">
        <v>6</v>
      </c>
      <c r="AS9" s="348" t="s">
        <v>871</v>
      </c>
      <c r="AT9" s="200"/>
      <c r="AU9" s="199"/>
      <c r="AV9" s="200"/>
      <c r="AW9" s="199"/>
      <c r="AX9" s="200"/>
      <c r="AY9" s="125">
        <f>IF(ISNUMBER(IF(J_V="SI",S9,S9+AG9)),IF(J_V="SI",S9,S9+AG9)," - ")</f>
        <v>4126</v>
      </c>
      <c r="AZ9" s="125">
        <f>IF(ISNUMBER(IF(J_V="SI",T9,T9+AH9)),IF(J_V="SI",T9,T9+AH9)," - ")</f>
        <v>2254</v>
      </c>
      <c r="BA9" s="126">
        <f>IF(ISNUMBER(IF(J_V="SI",U9,U9+AI9)),IF(J_V="SI",U9,U9+AI9)," - ")</f>
        <v>2220</v>
      </c>
      <c r="BB9" s="126">
        <f>IF(ISNUMBER(IF(J_V="SI",V9,V9+AJ9)),IF(J_V="SI",V9,V9+AJ9)," - ")</f>
        <v>4163</v>
      </c>
      <c r="BC9" s="127">
        <f>IF(ISNUMBER(X9),X9," - ")</f>
        <v>828</v>
      </c>
      <c r="BD9" s="128">
        <f>IF(ISNUMBER(BA9/AZ9),BA9/AZ9," - ")</f>
        <v>0.98491570541259987</v>
      </c>
      <c r="BE9" s="129">
        <f>IF(ISNUMBER(BB9/BA9),BB9/BA9, " - ")</f>
        <v>1.8752252252252253</v>
      </c>
      <c r="BF9" s="129">
        <f>IF(ISNUMBER(BC9/BA9),BC9/BA9, " - ")</f>
        <v>0.37297297297297299</v>
      </c>
      <c r="BG9" s="201">
        <f>IF(ISNUMBER((AY9+AZ9)/BA9),(AY9+AZ9)/BA9," - ")</f>
        <v>2.8738738738738738</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67</v>
      </c>
      <c r="J10" s="186">
        <v>37</v>
      </c>
      <c r="K10" s="186">
        <v>24</v>
      </c>
      <c r="L10" s="186">
        <v>80</v>
      </c>
      <c r="M10" s="186">
        <v>6</v>
      </c>
      <c r="N10" s="186">
        <v>11</v>
      </c>
      <c r="O10" s="186">
        <v>12</v>
      </c>
      <c r="P10" s="186">
        <v>14</v>
      </c>
      <c r="Q10" s="186">
        <v>9</v>
      </c>
      <c r="R10" s="186">
        <v>66</v>
      </c>
      <c r="S10" s="186">
        <v>40</v>
      </c>
      <c r="T10" s="186">
        <v>21</v>
      </c>
      <c r="U10" s="186">
        <v>20</v>
      </c>
      <c r="V10" s="186">
        <v>41</v>
      </c>
      <c r="W10" s="186">
        <v>7</v>
      </c>
      <c r="X10" s="193">
        <v>11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40</v>
      </c>
      <c r="AZ10" s="131">
        <f t="shared" si="0"/>
        <v>21</v>
      </c>
      <c r="BA10" s="131">
        <f t="shared" si="0"/>
        <v>20</v>
      </c>
      <c r="BB10" s="131">
        <f t="shared" si="0"/>
        <v>41</v>
      </c>
      <c r="BC10" s="127">
        <f t="shared" si="0"/>
        <v>7</v>
      </c>
      <c r="BD10" s="128">
        <f>IF(ISNUMBER(BA10/AZ10),BA10/AZ10," - ")</f>
        <v>0.95238095238095233</v>
      </c>
      <c r="BE10" s="129">
        <f>IF(ISNUMBER(BB10/BA10),BB10/BA10, " - ")</f>
        <v>2.0499999999999998</v>
      </c>
      <c r="BF10" s="129">
        <f>IF(ISNUMBER(BC10/BA10),BC10/BA10, " - ")</f>
        <v>0.35</v>
      </c>
      <c r="BG10" s="201">
        <f>IF(ISNUMBER((AY10+AZ10)/BA10),(AY10+AZ10)/BA10," - ")</f>
        <v>3.05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v>
      </c>
      <c r="J12" s="188">
        <v>0</v>
      </c>
      <c r="K12" s="188">
        <v>1</v>
      </c>
      <c r="L12" s="188">
        <v>0</v>
      </c>
      <c r="M12" s="188">
        <v>0</v>
      </c>
      <c r="N12" s="188">
        <v>4</v>
      </c>
      <c r="O12" s="186">
        <v>1</v>
      </c>
      <c r="P12" s="188">
        <v>0</v>
      </c>
      <c r="Q12" s="188">
        <v>2</v>
      </c>
      <c r="R12" s="188">
        <v>279</v>
      </c>
      <c r="S12" s="188">
        <v>1</v>
      </c>
      <c r="T12" s="188">
        <v>0</v>
      </c>
      <c r="U12" s="188">
        <v>0</v>
      </c>
      <c r="V12" s="188">
        <v>1</v>
      </c>
      <c r="W12" s="188">
        <v>0</v>
      </c>
      <c r="X12" s="194">
        <v>0</v>
      </c>
      <c r="Y12" s="196">
        <v>0</v>
      </c>
      <c r="Z12" s="186">
        <v>0</v>
      </c>
      <c r="AA12" s="186">
        <v>0</v>
      </c>
      <c r="AB12" s="186">
        <v>0</v>
      </c>
      <c r="AC12" s="188">
        <v>0</v>
      </c>
      <c r="AD12" s="188">
        <v>0</v>
      </c>
      <c r="AE12" s="188">
        <v>0</v>
      </c>
      <c r="AF12" s="194">
        <v>0</v>
      </c>
      <c r="AG12" s="207">
        <v>0</v>
      </c>
      <c r="AH12" s="188">
        <v>0</v>
      </c>
      <c r="AI12" s="188">
        <v>0</v>
      </c>
      <c r="AJ12" s="208">
        <v>0</v>
      </c>
      <c r="AK12" s="187">
        <v>0</v>
      </c>
      <c r="AL12" s="188">
        <v>0</v>
      </c>
      <c r="AM12" s="188">
        <v>0</v>
      </c>
      <c r="AN12" s="194">
        <v>0</v>
      </c>
      <c r="AO12" s="264">
        <v>0</v>
      </c>
      <c r="AP12" s="160">
        <v>0</v>
      </c>
      <c r="AQ12" s="160">
        <v>0</v>
      </c>
      <c r="AR12" s="159">
        <v>0</v>
      </c>
      <c r="AS12" s="350" t="s">
        <v>874</v>
      </c>
      <c r="AT12" s="208"/>
      <c r="AU12" s="207"/>
      <c r="AV12" s="208"/>
      <c r="AW12" s="207"/>
      <c r="AX12" s="208"/>
      <c r="AY12" s="128">
        <f t="shared" si="1"/>
        <v>1</v>
      </c>
      <c r="AZ12" s="129">
        <f t="shared" si="1"/>
        <v>0</v>
      </c>
      <c r="BA12" s="129">
        <f t="shared" si="1"/>
        <v>0</v>
      </c>
      <c r="BB12" s="129">
        <f t="shared" si="1"/>
        <v>1</v>
      </c>
      <c r="BC12" s="127">
        <f>IF(ISNUMBER(X12),X12," - ")</f>
        <v>0</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4437</v>
      </c>
      <c r="J14" s="189">
        <f t="shared" si="7"/>
        <v>2517</v>
      </c>
      <c r="K14" s="189">
        <f t="shared" si="7"/>
        <v>2440</v>
      </c>
      <c r="L14" s="189">
        <f t="shared" si="7"/>
        <v>4439</v>
      </c>
      <c r="M14" s="189">
        <f t="shared" si="7"/>
        <v>345</v>
      </c>
      <c r="N14" s="189">
        <f t="shared" si="7"/>
        <v>921</v>
      </c>
      <c r="O14" s="189">
        <f t="shared" si="7"/>
        <v>1597</v>
      </c>
      <c r="P14" s="189">
        <f t="shared" si="7"/>
        <v>611</v>
      </c>
      <c r="Q14" s="189">
        <f t="shared" si="7"/>
        <v>996</v>
      </c>
      <c r="R14" s="189">
        <f t="shared" si="7"/>
        <v>8312</v>
      </c>
      <c r="S14" s="189">
        <f t="shared" si="7"/>
        <v>3901</v>
      </c>
      <c r="T14" s="189">
        <f t="shared" si="7"/>
        <v>2049</v>
      </c>
      <c r="U14" s="189">
        <f t="shared" si="7"/>
        <v>1992</v>
      </c>
      <c r="V14" s="189">
        <f t="shared" si="7"/>
        <v>3966</v>
      </c>
      <c r="W14" s="189">
        <f t="shared" si="7"/>
        <v>416</v>
      </c>
      <c r="X14" s="189">
        <f t="shared" si="7"/>
        <v>839</v>
      </c>
      <c r="Y14" s="189">
        <f t="shared" si="7"/>
        <v>236</v>
      </c>
      <c r="Z14" s="189">
        <f t="shared" si="7"/>
        <v>243</v>
      </c>
      <c r="AA14" s="189">
        <f t="shared" si="7"/>
        <v>246</v>
      </c>
      <c r="AB14" s="189">
        <f t="shared" si="7"/>
        <v>246</v>
      </c>
      <c r="AC14" s="189">
        <f t="shared" si="7"/>
        <v>0</v>
      </c>
      <c r="AD14" s="189">
        <f t="shared" si="7"/>
        <v>0</v>
      </c>
      <c r="AE14" s="189">
        <f t="shared" si="7"/>
        <v>0</v>
      </c>
      <c r="AF14" s="189">
        <f>SUBTOTAL(9,AF9:AF13)</f>
        <v>0</v>
      </c>
      <c r="AG14" s="189">
        <f t="shared" ref="AG14:AT14" si="8">SUBTOTAL(9,AG8:AG13)</f>
        <v>266</v>
      </c>
      <c r="AH14" s="189">
        <f t="shared" si="8"/>
        <v>226</v>
      </c>
      <c r="AI14" s="189">
        <f t="shared" si="8"/>
        <v>248</v>
      </c>
      <c r="AJ14" s="189">
        <f t="shared" si="8"/>
        <v>239</v>
      </c>
      <c r="AK14" s="189">
        <f t="shared" si="8"/>
        <v>0</v>
      </c>
      <c r="AL14" s="189">
        <f t="shared" si="8"/>
        <v>0</v>
      </c>
      <c r="AM14" s="189">
        <f t="shared" si="8"/>
        <v>0</v>
      </c>
      <c r="AN14" s="189">
        <f t="shared" si="8"/>
        <v>0</v>
      </c>
      <c r="AO14" s="189">
        <f t="shared" si="8"/>
        <v>7</v>
      </c>
      <c r="AP14" s="189">
        <f t="shared" si="8"/>
        <v>7</v>
      </c>
      <c r="AQ14" s="189">
        <f t="shared" si="8"/>
        <v>7</v>
      </c>
      <c r="AR14" s="189">
        <f t="shared" si="8"/>
        <v>7</v>
      </c>
      <c r="AS14" s="189">
        <f t="shared" si="8"/>
        <v>0</v>
      </c>
      <c r="AT14" s="189">
        <f t="shared" si="8"/>
        <v>0</v>
      </c>
      <c r="AU14" s="209"/>
      <c r="AV14" s="134"/>
      <c r="AW14" s="209"/>
      <c r="AX14" s="134"/>
      <c r="AY14" s="189">
        <f>SUBTOTAL(9,AY8:AY13)</f>
        <v>4167</v>
      </c>
      <c r="AZ14" s="189">
        <f>SUBTOTAL(9,AZ8:AZ13)</f>
        <v>2275</v>
      </c>
      <c r="BA14" s="189">
        <f>SUBTOTAL(9,BA8:BA13)</f>
        <v>2240</v>
      </c>
      <c r="BB14" s="189">
        <f>SUBTOTAL(9,BB8:BB13)</f>
        <v>4205</v>
      </c>
      <c r="BC14" s="189">
        <f>SUBTOTAL(9,BC8:BC13)</f>
        <v>835</v>
      </c>
      <c r="BD14" s="210">
        <f>IF(ISNUMBER(BA14/AZ14),BA14/AZ14," - ")</f>
        <v>0.98461538461538467</v>
      </c>
      <c r="BE14" s="211">
        <f>IF(ISNUMBER(BB14/BA14),BB14/BA14, " - ")</f>
        <v>1.8772321428571428</v>
      </c>
      <c r="BF14" s="211">
        <f>IF(ISNUMBER(BC14/BA14),BC14/BA14, " - ")</f>
        <v>0.37276785714285715</v>
      </c>
      <c r="BG14" s="212">
        <f>IF(ISNUMBER((AY14+AZ14)/BA14),(AY14+AZ14)/BA14," - ")</f>
        <v>2.875892857142857</v>
      </c>
      <c r="BH14" s="145">
        <f>SUBTOTAL(9,BH8:BH13)</f>
        <v>7</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1386</v>
      </c>
      <c r="J16" s="188">
        <v>2008</v>
      </c>
      <c r="K16" s="188">
        <v>2010</v>
      </c>
      <c r="L16" s="188">
        <v>1493</v>
      </c>
      <c r="M16" s="188">
        <v>377</v>
      </c>
      <c r="N16" s="188">
        <v>1040</v>
      </c>
      <c r="O16" s="186">
        <v>58</v>
      </c>
      <c r="P16" s="188">
        <v>148</v>
      </c>
      <c r="Q16" s="188">
        <v>106</v>
      </c>
      <c r="R16" s="188">
        <v>358</v>
      </c>
      <c r="S16" s="188">
        <v>1409</v>
      </c>
      <c r="T16" s="188">
        <v>2004</v>
      </c>
      <c r="U16" s="188">
        <v>2286</v>
      </c>
      <c r="V16" s="188">
        <v>1213</v>
      </c>
      <c r="W16" s="188">
        <v>396</v>
      </c>
      <c r="X16" s="194">
        <v>1223</v>
      </c>
      <c r="Y16" s="207">
        <v>0</v>
      </c>
      <c r="Z16" s="188">
        <v>0</v>
      </c>
      <c r="AA16" s="188">
        <v>0</v>
      </c>
      <c r="AB16" s="188">
        <v>0</v>
      </c>
      <c r="AC16" s="188">
        <v>0</v>
      </c>
      <c r="AD16" s="188">
        <v>3</v>
      </c>
      <c r="AE16" s="188">
        <v>3</v>
      </c>
      <c r="AF16" s="194">
        <v>0</v>
      </c>
      <c r="AG16" s="207">
        <v>0</v>
      </c>
      <c r="AH16" s="188">
        <v>0</v>
      </c>
      <c r="AI16" s="188">
        <v>0</v>
      </c>
      <c r="AJ16" s="208">
        <v>0</v>
      </c>
      <c r="AK16" s="187">
        <v>0</v>
      </c>
      <c r="AL16" s="188">
        <v>27</v>
      </c>
      <c r="AM16" s="188">
        <v>27</v>
      </c>
      <c r="AN16" s="194">
        <v>0</v>
      </c>
      <c r="AO16" s="264">
        <v>3</v>
      </c>
      <c r="AP16" s="160">
        <v>3</v>
      </c>
      <c r="AQ16" s="160">
        <v>3</v>
      </c>
      <c r="AR16" s="160">
        <v>3</v>
      </c>
      <c r="AS16" s="350" t="s">
        <v>588</v>
      </c>
      <c r="AT16" s="208" t="s">
        <v>360</v>
      </c>
      <c r="AU16" s="207"/>
      <c r="AV16" s="208"/>
      <c r="AW16" s="207"/>
      <c r="AX16" s="208"/>
      <c r="AY16" s="130">
        <f t="shared" ref="AY16:BB17" si="10">IF(ISNUMBER(IF(D_I="SI",S16,S16+AK16)),IF(D_I="SI",S16,S16+AK16)," - ")</f>
        <v>1409</v>
      </c>
      <c r="AZ16" s="131">
        <f t="shared" si="10"/>
        <v>2004</v>
      </c>
      <c r="BA16" s="131">
        <f t="shared" si="10"/>
        <v>2286</v>
      </c>
      <c r="BB16" s="131">
        <f t="shared" si="10"/>
        <v>1213</v>
      </c>
      <c r="BC16" s="127">
        <f>IF(ISNUMBER(W16),W16," - ")</f>
        <v>396</v>
      </c>
      <c r="BD16" s="128">
        <f>IF(ISNUMBER(BA16/AZ16),BA16/AZ16," - ")</f>
        <v>1.1407185628742516</v>
      </c>
      <c r="BE16" s="129">
        <f>IF(ISNUMBER(BB16/BA16),BB16/BA16, " - ")</f>
        <v>0.53062117235345585</v>
      </c>
      <c r="BF16" s="129">
        <f>IF(ISNUMBER(BC16/BA16),BC16/BA16, " - ")</f>
        <v>0.17322834645669291</v>
      </c>
      <c r="BG16" s="201">
        <f t="shared" ref="BG16:BG19" si="11">IF(ISNUMBER((AY16+AZ16)/BA16),(AY16+AZ16)/BA16," - ")</f>
        <v>1.4930008748906387</v>
      </c>
      <c r="BH16" s="160">
        <v>3</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92</v>
      </c>
      <c r="J18" s="188">
        <v>229</v>
      </c>
      <c r="K18" s="188">
        <v>222</v>
      </c>
      <c r="L18" s="188">
        <v>100</v>
      </c>
      <c r="M18" s="188">
        <v>60</v>
      </c>
      <c r="N18" s="188">
        <v>165</v>
      </c>
      <c r="O18" s="188">
        <v>13</v>
      </c>
      <c r="P18" s="188">
        <v>18</v>
      </c>
      <c r="Q18" s="188">
        <v>12</v>
      </c>
      <c r="R18" s="188">
        <v>26</v>
      </c>
      <c r="S18" s="188">
        <v>103</v>
      </c>
      <c r="T18" s="188">
        <v>197</v>
      </c>
      <c r="U18" s="188">
        <v>204</v>
      </c>
      <c r="V18" s="188">
        <v>96</v>
      </c>
      <c r="W18" s="188">
        <v>51</v>
      </c>
      <c r="X18" s="194">
        <v>147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103</v>
      </c>
      <c r="AZ18" s="131">
        <f t="shared" si="15"/>
        <v>197</v>
      </c>
      <c r="BA18" s="131">
        <f t="shared" si="15"/>
        <v>204</v>
      </c>
      <c r="BB18" s="131">
        <f t="shared" si="15"/>
        <v>96</v>
      </c>
      <c r="BC18" s="127">
        <f>IF(ISNUMBER(W18),W18," - ")</f>
        <v>51</v>
      </c>
      <c r="BD18" s="128">
        <f>IF(ISNUMBER(BA18/AZ18),BA18/AZ18," - ")</f>
        <v>1.0355329949238579</v>
      </c>
      <c r="BE18" s="129">
        <f>IF(ISNUMBER(BB18/BA18),BB18/BA18, " - ")</f>
        <v>0.47058823529411764</v>
      </c>
      <c r="BF18" s="129">
        <f>IF(ISNUMBER(BC18/BA18),BC18/BA18, " - ")</f>
        <v>0.25</v>
      </c>
      <c r="BG18" s="201">
        <f>IF(ISNUMBER((AY18+AZ18)/BA18),(AY18+AZ18)/BA18," - ")</f>
        <v>1.4705882352941178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1478</v>
      </c>
      <c r="J20" s="189">
        <f t="shared" si="16"/>
        <v>2237</v>
      </c>
      <c r="K20" s="189">
        <f t="shared" si="16"/>
        <v>2232</v>
      </c>
      <c r="L20" s="189">
        <f t="shared" si="16"/>
        <v>1593</v>
      </c>
      <c r="M20" s="189">
        <f t="shared" si="16"/>
        <v>437</v>
      </c>
      <c r="N20" s="189">
        <f t="shared" si="16"/>
        <v>1205</v>
      </c>
      <c r="O20" s="189">
        <f t="shared" si="16"/>
        <v>71</v>
      </c>
      <c r="P20" s="189">
        <f t="shared" si="16"/>
        <v>166</v>
      </c>
      <c r="Q20" s="189">
        <f t="shared" si="16"/>
        <v>118</v>
      </c>
      <c r="R20" s="189">
        <f t="shared" si="16"/>
        <v>384</v>
      </c>
      <c r="S20" s="189">
        <f t="shared" si="16"/>
        <v>1512</v>
      </c>
      <c r="T20" s="189">
        <f t="shared" si="16"/>
        <v>2201</v>
      </c>
      <c r="U20" s="189">
        <f t="shared" si="16"/>
        <v>2490</v>
      </c>
      <c r="V20" s="189">
        <f t="shared" si="16"/>
        <v>1309</v>
      </c>
      <c r="W20" s="189">
        <f t="shared" si="16"/>
        <v>447</v>
      </c>
      <c r="X20" s="189">
        <f t="shared" si="16"/>
        <v>1370</v>
      </c>
      <c r="Y20" s="189">
        <f t="shared" si="16"/>
        <v>0</v>
      </c>
      <c r="Z20" s="189">
        <f t="shared" si="16"/>
        <v>0</v>
      </c>
      <c r="AA20" s="189">
        <f t="shared" si="16"/>
        <v>0</v>
      </c>
      <c r="AB20" s="189">
        <f t="shared" si="16"/>
        <v>0</v>
      </c>
      <c r="AC20" s="189">
        <f t="shared" si="16"/>
        <v>0</v>
      </c>
      <c r="AD20" s="189">
        <f t="shared" si="16"/>
        <v>3</v>
      </c>
      <c r="AE20" s="189">
        <f t="shared" si="16"/>
        <v>3</v>
      </c>
      <c r="AF20" s="189">
        <f t="shared" si="16"/>
        <v>0</v>
      </c>
      <c r="AG20" s="189">
        <f t="shared" si="16"/>
        <v>0</v>
      </c>
      <c r="AH20" s="189">
        <f t="shared" si="16"/>
        <v>0</v>
      </c>
      <c r="AI20" s="189">
        <f t="shared" si="16"/>
        <v>0</v>
      </c>
      <c r="AJ20" s="189">
        <f t="shared" si="16"/>
        <v>0</v>
      </c>
      <c r="AK20" s="189">
        <f t="shared" si="16"/>
        <v>0</v>
      </c>
      <c r="AL20" s="189">
        <f t="shared" si="16"/>
        <v>27</v>
      </c>
      <c r="AM20" s="189">
        <f t="shared" si="16"/>
        <v>27</v>
      </c>
      <c r="AN20" s="189">
        <f t="shared" si="16"/>
        <v>0</v>
      </c>
      <c r="AO20" s="189">
        <f t="shared" si="16"/>
        <v>4</v>
      </c>
      <c r="AP20" s="189">
        <f t="shared" si="16"/>
        <v>4</v>
      </c>
      <c r="AQ20" s="189">
        <f t="shared" si="16"/>
        <v>4</v>
      </c>
      <c r="AR20" s="189">
        <f t="shared" si="16"/>
        <v>4</v>
      </c>
      <c r="AS20" s="189">
        <f t="shared" si="16"/>
        <v>0</v>
      </c>
      <c r="AT20" s="189">
        <f t="shared" si="16"/>
        <v>0</v>
      </c>
      <c r="AU20" s="209"/>
      <c r="AV20" s="134"/>
      <c r="AW20" s="209"/>
      <c r="AX20" s="134"/>
      <c r="AY20" s="189">
        <f>SUBTOTAL(9,AY15:AY19)</f>
        <v>1512</v>
      </c>
      <c r="AZ20" s="189">
        <f>SUBTOTAL(9,AZ15:AZ19)</f>
        <v>2201</v>
      </c>
      <c r="BA20" s="189">
        <f>SUBTOTAL(9,BA15:BA19)</f>
        <v>2490</v>
      </c>
      <c r="BB20" s="189">
        <f>SUBTOTAL(9,BB15:BB19)</f>
        <v>1309</v>
      </c>
      <c r="BC20" s="189">
        <f>SUBTOTAL(9,BC15:BC19)</f>
        <v>447</v>
      </c>
      <c r="BD20" s="210">
        <f>IF(ISNUMBER(BA20/AZ20),BA20/AZ20," - ")</f>
        <v>1.1313039527487505</v>
      </c>
      <c r="BE20" s="211">
        <f>IF(ISNUMBER(BB20/BA20),BB20/BA20, " - ")</f>
        <v>0.52570281124497997</v>
      </c>
      <c r="BF20" s="211">
        <f>IF(ISNUMBER(BC20/BA20),BC20/BA20, " - ")</f>
        <v>0.17951807228915662</v>
      </c>
      <c r="BG20" s="212">
        <f>IF(ISNUMBER((AY20+AZ20)/BA20),(AY20+AZ20)/BA20," - ")</f>
        <v>1.4911646586345382</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5915</v>
      </c>
      <c r="J21" s="136">
        <f t="shared" si="19"/>
        <v>4754</v>
      </c>
      <c r="K21" s="136">
        <f t="shared" si="19"/>
        <v>4672</v>
      </c>
      <c r="L21" s="136">
        <f t="shared" si="19"/>
        <v>6032</v>
      </c>
      <c r="M21" s="136">
        <f t="shared" si="19"/>
        <v>782</v>
      </c>
      <c r="N21" s="136">
        <f t="shared" si="19"/>
        <v>2126</v>
      </c>
      <c r="O21" s="136">
        <f t="shared" si="19"/>
        <v>1668</v>
      </c>
      <c r="P21" s="136">
        <f t="shared" si="19"/>
        <v>777</v>
      </c>
      <c r="Q21" s="136">
        <f t="shared" si="19"/>
        <v>1114</v>
      </c>
      <c r="R21" s="136">
        <f t="shared" si="19"/>
        <v>8696</v>
      </c>
      <c r="S21" s="136">
        <f t="shared" si="19"/>
        <v>5413</v>
      </c>
      <c r="T21" s="136">
        <f t="shared" si="19"/>
        <v>4250</v>
      </c>
      <c r="U21" s="136">
        <f t="shared" si="19"/>
        <v>4482</v>
      </c>
      <c r="V21" s="136">
        <f t="shared" si="19"/>
        <v>5275</v>
      </c>
      <c r="W21" s="136">
        <f t="shared" si="19"/>
        <v>863</v>
      </c>
      <c r="X21" s="136">
        <f t="shared" si="19"/>
        <v>2209</v>
      </c>
      <c r="Y21" s="136">
        <f t="shared" si="19"/>
        <v>236</v>
      </c>
      <c r="Z21" s="136">
        <f t="shared" si="19"/>
        <v>243</v>
      </c>
      <c r="AA21" s="136">
        <f t="shared" si="19"/>
        <v>246</v>
      </c>
      <c r="AB21" s="136">
        <f t="shared" si="19"/>
        <v>246</v>
      </c>
      <c r="AC21" s="136">
        <f t="shared" si="19"/>
        <v>0</v>
      </c>
      <c r="AD21" s="136">
        <f t="shared" si="19"/>
        <v>3</v>
      </c>
      <c r="AE21" s="136">
        <f t="shared" si="19"/>
        <v>3</v>
      </c>
      <c r="AF21" s="136">
        <f t="shared" si="19"/>
        <v>0</v>
      </c>
      <c r="AG21" s="136">
        <f t="shared" si="19"/>
        <v>266</v>
      </c>
      <c r="AH21" s="136">
        <f t="shared" si="19"/>
        <v>226</v>
      </c>
      <c r="AI21" s="136">
        <f t="shared" si="19"/>
        <v>248</v>
      </c>
      <c r="AJ21" s="136">
        <f t="shared" si="19"/>
        <v>239</v>
      </c>
      <c r="AK21" s="136">
        <f t="shared" si="19"/>
        <v>0</v>
      </c>
      <c r="AL21" s="136">
        <f t="shared" si="19"/>
        <v>27</v>
      </c>
      <c r="AM21" s="136">
        <f t="shared" si="19"/>
        <v>27</v>
      </c>
      <c r="AN21" s="215">
        <f t="shared" si="19"/>
        <v>0</v>
      </c>
      <c r="AO21" s="216">
        <v>10</v>
      </c>
      <c r="AP21" s="216">
        <v>10</v>
      </c>
      <c r="AQ21" s="216">
        <v>10</v>
      </c>
      <c r="AR21" s="216">
        <v>10</v>
      </c>
      <c r="AS21" s="158">
        <f t="shared" si="19"/>
        <v>0</v>
      </c>
      <c r="AT21" s="158">
        <f t="shared" si="19"/>
        <v>0</v>
      </c>
      <c r="AU21" s="216"/>
      <c r="AV21" s="217"/>
      <c r="AW21" s="216"/>
      <c r="AX21" s="217"/>
      <c r="AY21" s="135">
        <f>SUBTOTAL(9,AY9:AY20)</f>
        <v>5679</v>
      </c>
      <c r="AZ21" s="136">
        <f>SUBTOTAL(9,AZ9:AZ20)</f>
        <v>4476</v>
      </c>
      <c r="BA21" s="136">
        <f>SUBTOTAL(9,BA9:BA20)</f>
        <v>4730</v>
      </c>
      <c r="BB21" s="136">
        <f>SUBTOTAL(9,BB9:BB20)</f>
        <v>5514</v>
      </c>
      <c r="BC21" s="137">
        <f>SUBTOTAL(9,BC9:BC20)</f>
        <v>1282</v>
      </c>
      <c r="BD21" s="218">
        <f>IF(ISNUMBER(BA21/AZ21),BA21/AZ21," - ")</f>
        <v>1.0567470956210903</v>
      </c>
      <c r="BE21" s="215">
        <f>IF(ISNUMBER(BB21/BA21),BB21/BA21, " - ")</f>
        <v>1.1657505285412262</v>
      </c>
      <c r="BF21" s="215">
        <f>IF(ISNUMBER(BC21/BA21),BC21/BA21, " - ")</f>
        <v>0.27103594080338267</v>
      </c>
      <c r="BG21" s="137">
        <f>IF(ISNUMBER((AY21+AZ21)/BA21),(AY21+AZ21)/BA21," - ")</f>
        <v>2.1469344608879495</v>
      </c>
      <c r="BH21" s="216">
        <f>SUBTOTAL(9,BH9:BH20)</f>
        <v>11</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i2sMM/pVWKkrQ5dzZR1kS6hUF7Aw7i/fIAmSNyaZeN8/kSboPu0ksmcKRkQV91S3d+kKYVtspGNbyHHDQlzA==" saltValue="EpQGEVGvl+UNzL5RnOLy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QPR0LizRNUkjm3TOATsVAInVXN+uyvw7l9nV20kiaJIXNrdX8KfceEJx1+kkwTSRos2O62lk2KefD7Xi7hQ9Q==" saltValue="lwNJFpj9NVlk0wDVP1BB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GANDIA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6</v>
      </c>
      <c r="B9" s="653" t="s">
        <v>273</v>
      </c>
      <c r="C9" s="671" t="str">
        <f>Datos!A9</f>
        <v xml:space="preserve">Jdos. 1ª Instancia   </v>
      </c>
      <c r="D9" s="544"/>
      <c r="E9" s="670">
        <f>IF(ISNUMBER(Datos!AQ9),Datos!AQ9," - ")</f>
        <v>6</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243</v>
      </c>
      <c r="O9" s="504"/>
      <c r="P9" s="504"/>
      <c r="Q9" s="502">
        <f>IF(ISNUMBER(Datos!P9),Datos!P9,0)</f>
        <v>597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985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246</v>
      </c>
      <c r="AI9" s="504" t="str">
        <f>IF(ISNUMBER(Datos!CD9),Datos!CD9,"-")</f>
        <v>-</v>
      </c>
      <c r="AJ9" s="504" t="str">
        <f>IF(ISNUMBER(Datos!EN9),Datos!EN9," - ")</f>
        <v xml:space="preserve"> - </v>
      </c>
      <c r="AK9" s="504"/>
      <c r="AL9" s="505"/>
      <c r="AM9" s="672">
        <f>IF(ISNUMBER(Datos!R9),Datos!R9," - ")</f>
        <v>7967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339</v>
      </c>
      <c r="BD9" s="620">
        <f>IF(ISNUMBER(Datos!N9),Datos!N9," - ")</f>
        <v>906</v>
      </c>
      <c r="BE9" s="620" t="str">
        <f>IF(ISNUMBER(Datos!BW9),Datos!BW9," - ")</f>
        <v xml:space="preserve"> - </v>
      </c>
      <c r="BF9" s="668" t="str">
        <f>IF(ISNUMBER(Datos!BX9),Datos!BX9," - ")</f>
        <v xml:space="preserve"> - </v>
      </c>
      <c r="BG9" s="669">
        <f>IF(ISNUMBER(IF(J_V="SI",Datos!K9/Datos!J9,(Datos!K9+Datos!AA9)/(Datos!J9+Datos!Z9))),IF(J_V="SI",Datos!K9/Datos!J9,(Datos!K9+Datos!AA9)/(Datos!J9+Datos!Z9))," - ")</f>
        <v>0.97723099522585388</v>
      </c>
      <c r="BH9" s="670">
        <f>IF(ISNUMBER(((IF(J_V="SI",Datos!L9/Datos!K9,(Datos!L9+Datos!AB9)/(Datos!K9+Datos!AA9)))*11)/factor_trimestre),((IF(J_V="SI",Datos!L9/Datos!K9,(Datos!L9+Datos!AB9)/(Datos!K9+Datos!AA9)))*11)/factor_trimestre," - ")</f>
        <v>5.1916572717023675</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-4.6439257929383602E-2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67</v>
      </c>
      <c r="G10" s="498">
        <f>IF(ISNUMBER(Datos!I10),Datos!I10," - ")</f>
        <v>67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24</v>
      </c>
      <c r="AC10" s="502">
        <f>IF(ISNUMBER(Datos!Q10),Datos!Q10," - ")</f>
        <v>9</v>
      </c>
      <c r="AD10" s="504"/>
      <c r="AE10" s="517"/>
      <c r="AF10" s="506">
        <f>IF(ISNUMBER(Datos!L10),Datos!L10,"-")</f>
        <v>80</v>
      </c>
      <c r="AG10" s="504"/>
      <c r="AH10" s="504"/>
      <c r="AI10" s="504"/>
      <c r="AJ10" s="504"/>
      <c r="AK10" s="504"/>
      <c r="AL10" s="505"/>
      <c r="AM10" s="672">
        <f>IF(ISNUMBER(Datos!R10),Datos!R10," - ")</f>
        <v>66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11</v>
      </c>
      <c r="BE10" s="620" t="str">
        <f>IF(ISNUMBER(Datos!BW10),Datos!BW10," - ")</f>
        <v xml:space="preserve"> - </v>
      </c>
      <c r="BF10" s="668" t="str">
        <f>IF(ISNUMBER(Datos!BX10),Datos!BX10," - ")</f>
        <v xml:space="preserve"> - </v>
      </c>
      <c r="BG10" s="669">
        <f>IF(ISNUMBER(Datos!K10/Datos!J10),Datos!K10/Datos!J10," - ")</f>
        <v>0.64864864864864868</v>
      </c>
      <c r="BH10" s="670">
        <f>IF(ISNUMBER(((Datos!L10/Datos!K10)*11)/factor_trimestre),((Datos!L10/Datos!K10)*11)/factor_trimestre," - ")</f>
        <v>10.000000000000002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8.1967213114754092E-2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0</v>
      </c>
      <c r="AI12" s="504" t="str">
        <f>IF(ISNUMBER(Datos!CD12),Datos!CD12,"-")</f>
        <v>-</v>
      </c>
      <c r="AJ12" s="504" t="str">
        <f>IF(ISNUMBER(Datos!EN12),Datos!EN12," - ")</f>
        <v xml:space="preserve"> - </v>
      </c>
      <c r="AK12" s="504"/>
      <c r="AL12" s="505"/>
      <c r="AM12" s="672">
        <f>IF(ISNUMBER(Datos!R12),Datos!R12," - ")</f>
        <v>279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0</v>
      </c>
      <c r="BD12" s="620">
        <f>IF(ISNUMBER(Datos!N12),Datos!N12," - ")</f>
        <v>4</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f>IF(ISNUMBER(((IF(J_V="SI",Datos!L12/Datos!K12,(Datos!L12+Datos!AB12)/(Datos!K12+Datos!AA12)))*11)/factor_trimestre),((IF(J_V="SI",Datos!L12/Datos!K12,(Datos!L12+Datos!AB12)/(Datos!K12+Datos!AA12)))*11)/factor_trimestre," - ")</f>
        <v>0</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-7.1174377224199285E-3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67</v>
      </c>
      <c r="G14" s="1045">
        <f t="shared" si="1"/>
        <v>67</v>
      </c>
      <c r="H14" s="1046">
        <f t="shared" si="1"/>
        <v>0</v>
      </c>
      <c r="I14" s="1045">
        <f t="shared" si="1"/>
        <v>0</v>
      </c>
      <c r="J14" s="1014">
        <f t="shared" si="1"/>
        <v>0</v>
      </c>
      <c r="K14" s="1014">
        <f t="shared" si="1"/>
        <v>0</v>
      </c>
      <c r="L14" s="1046">
        <f t="shared" si="1"/>
        <v>0</v>
      </c>
      <c r="M14" s="1046">
        <f t="shared" si="1"/>
        <v>0</v>
      </c>
      <c r="N14" s="1046">
        <f t="shared" si="1"/>
        <v>243</v>
      </c>
      <c r="O14" s="1047">
        <f t="shared" si="1"/>
        <v>0</v>
      </c>
      <c r="P14" s="1047">
        <f t="shared" si="1"/>
        <v>0</v>
      </c>
      <c r="Q14" s="1046">
        <f t="shared" si="1"/>
        <v>611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24</v>
      </c>
      <c r="AC14" s="1046">
        <f t="shared" si="2"/>
        <v>996</v>
      </c>
      <c r="AD14" s="1046">
        <f t="shared" si="2"/>
        <v>0</v>
      </c>
      <c r="AE14" s="1046">
        <f t="shared" si="2"/>
        <v>0</v>
      </c>
      <c r="AF14" s="1046">
        <f t="shared" si="2"/>
        <v>80</v>
      </c>
      <c r="AG14" s="1046">
        <f t="shared" si="2"/>
        <v>0</v>
      </c>
      <c r="AH14" s="1046">
        <f t="shared" si="2"/>
        <v>246</v>
      </c>
      <c r="AI14" s="1046">
        <f t="shared" si="2"/>
        <v>0</v>
      </c>
      <c r="AJ14" s="1046">
        <f t="shared" si="2"/>
        <v>0</v>
      </c>
      <c r="AK14" s="1046">
        <f t="shared" si="2"/>
        <v>0</v>
      </c>
      <c r="AL14" s="1046">
        <f t="shared" si="2"/>
        <v>0</v>
      </c>
      <c r="AM14" s="1046">
        <f t="shared" si="2"/>
        <v>8312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345</v>
      </c>
      <c r="BD14" s="1046">
        <f t="shared" si="2"/>
        <v>921</v>
      </c>
      <c r="BE14" s="1046">
        <f t="shared" si="2"/>
        <v>0</v>
      </c>
      <c r="BF14" s="1046">
        <f t="shared" si="2"/>
        <v>0</v>
      </c>
      <c r="BG14" s="1046">
        <f>IF(ISNUMBER(Datos!K14/Datos!J14),Datos!K14/Datos!J14," - ")</f>
        <v>0.9694080254270957</v>
      </c>
      <c r="BH14" s="1050">
        <f>IF(ISNUMBER(((Datos!L14/Datos!K14)*11)/factor_trimestre),((Datos!L14/Datos!K14)*11)/factor_trimestre," - ")</f>
        <v>5.4577868852459019</v>
      </c>
      <c r="BI14" s="1046">
        <f>IF(ISNUMBER('Resol  Asuntos'!D14/NºAsuntos!G14),'Resol  Asuntos'!D14/NºAsuntos!G14," - ")</f>
        <v>0.12844378257632166</v>
      </c>
      <c r="BJ14" s="1046" t="str">
        <f>IF(ISNUMBER(Datos!CI14/Datos!CJ14),Datos!CI14/Datos!CJ14," - ")</f>
        <v xml:space="preserve"> - </v>
      </c>
      <c r="BK14" s="1046">
        <f>SUBTOTAL(9,BK8:BK13)</f>
        <v>0</v>
      </c>
      <c r="BL14" s="1046">
        <f>IF(ISNUMBER((I14-AB14+L14)/(F14)),(I14-AB14+L14)/(F14)," - ")</f>
        <v>-0.35820895522388058</v>
      </c>
      <c r="BM14" s="1051">
        <f>SUBTOTAL(9,BM9:BM13)</f>
        <v>2.8410517462950563E-2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3</v>
      </c>
      <c r="B16" s="647" t="s">
        <v>437</v>
      </c>
      <c r="C16" s="657" t="str">
        <f>Datos!A16</f>
        <v xml:space="preserve">Jdos. Instrucción                               </v>
      </c>
      <c r="D16" s="658"/>
      <c r="E16" s="1334">
        <f>IF(ISNUMBER(Datos!AQ16),Datos!AQ16," - ")</f>
        <v>3</v>
      </c>
      <c r="F16" s="648">
        <f>IF(ISNUMBER(AF16+AB16-Datos!J16-L16),AF16+AB16-Datos!J16-L16," - ")</f>
        <v>1495</v>
      </c>
      <c r="G16" s="651">
        <f>IF(ISNUMBER(IF(D_I="SI",Datos!I16,Datos!I16+Datos!AC16)),IF(D_I="SI",Datos!I16,Datos!I16+Datos!AC16)," - ")</f>
        <v>1386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148</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2010</v>
      </c>
      <c r="AC16" s="231">
        <f>IF(ISNUMBER(Datos!Q16),Datos!Q16," - ")</f>
        <v>106</v>
      </c>
      <c r="AD16" s="344"/>
      <c r="AE16" s="516"/>
      <c r="AF16" s="649">
        <f>IF(ISNUMBER(IF(D_I="SI",Datos!L16,Datos!L16+Datos!AF16)),IF(D_I="SI",Datos!L16,Datos!L16+Datos!AF16)," - ")</f>
        <v>1493</v>
      </c>
      <c r="AG16" s="344"/>
      <c r="AH16" s="344"/>
      <c r="AI16" s="344"/>
      <c r="AJ16" s="504"/>
      <c r="AK16" s="344"/>
      <c r="AL16" s="500"/>
      <c r="AM16" s="345">
        <f>IF(ISNUMBER(Datos!R16),Datos!R16," - ")</f>
        <v>358</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377</v>
      </c>
      <c r="BD16" s="234">
        <f>IF(ISNUMBER(Datos!N16),Datos!N16," - ")</f>
        <v>1040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1.000996015936255</v>
      </c>
      <c r="BH16" s="670">
        <f>IF(ISNUMBER(((IF(D_I="SI",Datos!L16/Datos!K16,(Datos!L16+Datos!AF16)/(Datos!K16+Datos!AE16)))*11)/factor_trimestre),((IF(D_I="SI",Datos!L16/Datos!K16,(Datos!L16+Datos!AF16)/(Datos!K16+Datos!AE16)))*11)/factor_trimestre," - ")</f>
        <v>2.2283582089552239</v>
      </c>
      <c r="BI16" s="248">
        <f>IF(ISNUMBER('Resol  Asuntos'!D16/NºAsuntos!G16),'Resol  Asuntos'!D16/NºAsuntos!G16," - ")</f>
        <v>0.18756218905472638</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92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18</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222</v>
      </c>
      <c r="AC18" s="502">
        <f>IF(ISNUMBER(Datos!Q18),Datos!Q18," - ")</f>
        <v>12</v>
      </c>
      <c r="AD18" s="504"/>
      <c r="AE18" s="516"/>
      <c r="AF18" s="506">
        <f>IF(ISNUMBER(Datos!L18),Datos!L18,"-")</f>
        <v>100</v>
      </c>
      <c r="AG18" s="504"/>
      <c r="AH18" s="504"/>
      <c r="AI18" s="504"/>
      <c r="AJ18" s="504"/>
      <c r="AK18" s="504"/>
      <c r="AL18" s="505"/>
      <c r="AM18" s="672">
        <f>IF(ISNUMBER(Datos!R18),Datos!R18," - ")</f>
        <v>26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60</v>
      </c>
      <c r="BD18" s="620">
        <f>IF(ISNUMBER(Datos!N18),Datos!N18," - ")</f>
        <v>165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0.96943231441048039</v>
      </c>
      <c r="BH18" s="670">
        <f>IF(ISNUMBER(((IF(D_I="SI",Datos!L18/Datos!K18,(Datos!L18+Datos!AF18)/(Datos!K18+Datos!AE18)))*11)/factor_trimestre),((IF(D_I="SI",Datos!L18/Datos!K18,(Datos!L18+Datos!AF18)/(Datos!K18+Datos!AE18)))*11)/factor_trimestre," - ")</f>
        <v>1.3513513513513513</v>
      </c>
      <c r="BI18" s="669">
        <f>IF(ISNUMBER('Resol  Asuntos'!D18/NºAsuntos!G18),'Resol  Asuntos'!D18/NºAsuntos!G18," - ")</f>
        <v>0.27027027027027029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1495</v>
      </c>
      <c r="G20" s="1045">
        <f>SUBTOTAL(9,G16:G19)</f>
        <v>1478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2232</v>
      </c>
      <c r="AC20" s="1046">
        <f t="shared" si="5"/>
        <v>118</v>
      </c>
      <c r="AD20" s="1046">
        <f t="shared" si="5"/>
        <v>0</v>
      </c>
      <c r="AE20" s="1046">
        <f t="shared" si="5"/>
        <v>0</v>
      </c>
      <c r="AF20" s="1046">
        <f t="shared" si="5"/>
        <v>1593</v>
      </c>
      <c r="AG20" s="1046">
        <f t="shared" si="5"/>
        <v>0</v>
      </c>
      <c r="AH20" s="1046">
        <f t="shared" si="5"/>
        <v>0</v>
      </c>
      <c r="AI20" s="1046">
        <f t="shared" si="5"/>
        <v>0</v>
      </c>
      <c r="AJ20" s="1046">
        <f t="shared" si="5"/>
        <v>0</v>
      </c>
      <c r="AK20" s="1046">
        <f t="shared" si="5"/>
        <v>0</v>
      </c>
      <c r="AL20" s="1046">
        <f t="shared" si="5"/>
        <v>0</v>
      </c>
      <c r="AM20" s="1046">
        <f t="shared" si="5"/>
        <v>384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437</v>
      </c>
      <c r="BD20" s="1046">
        <f t="shared" si="5"/>
        <v>1205</v>
      </c>
      <c r="BE20" s="1046">
        <f t="shared" si="5"/>
        <v>0</v>
      </c>
      <c r="BF20" s="1046">
        <f t="shared" si="5"/>
        <v>0</v>
      </c>
      <c r="BG20" s="1046">
        <f>IF(ISNUMBER(Datos!K20/Datos!J20),Datos!K20/Datos!J20," - ")</f>
        <v>0.99776486365668304</v>
      </c>
      <c r="BH20" s="1050">
        <f>IF(ISNUMBER(((Datos!L20/Datos!K20)*11)/factor_trimestre),((Datos!L20/Datos!K20)*11)/factor_trimestre," - ")</f>
        <v>2.1411290322580649</v>
      </c>
      <c r="BI20" s="1046">
        <f>SUBTOTAL(9,BI16:BI19)</f>
        <v>0.45783245932499667</v>
      </c>
      <c r="BJ20" s="1046">
        <f>SUBTOTAL(9,BJ16:BJ19)</f>
        <v>0</v>
      </c>
      <c r="BK20" s="1046">
        <f>SUBTOTAL(9,BK16:BK19)</f>
        <v>0</v>
      </c>
      <c r="BL20" s="1046">
        <f>IF(ISNUMBER((I20-AB20+L20)/(F20)),(I20-AB20+L20)/(F20)," - ")</f>
        <v>-1.4929765886287625</v>
      </c>
      <c r="BM20" s="1052">
        <f>IF(ISNUMBER((Datos!P20-Datos!Q20)/(Datos!R20-Datos!P20+Datos!Q20)),(Datos!P20-Datos!Q20)/(Datos!R20-Datos!P20+Datos!Q20)," - ")</f>
        <v>0.14285714285714285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11</v>
      </c>
      <c r="F21" s="967">
        <f t="shared" si="7"/>
        <v>1562</v>
      </c>
      <c r="G21" s="967">
        <f t="shared" si="7"/>
        <v>1545</v>
      </c>
      <c r="H21" s="969">
        <f t="shared" si="7"/>
        <v>0</v>
      </c>
      <c r="I21" s="967">
        <f t="shared" si="7"/>
        <v>0</v>
      </c>
      <c r="J21" s="969">
        <f t="shared" si="7"/>
        <v>0</v>
      </c>
      <c r="K21" s="969">
        <f t="shared" si="7"/>
        <v>0</v>
      </c>
      <c r="L21" s="1028">
        <f t="shared" si="7"/>
        <v>0</v>
      </c>
      <c r="M21" s="1028">
        <f t="shared" si="7"/>
        <v>0</v>
      </c>
      <c r="N21" s="1028">
        <f t="shared" si="7"/>
        <v>243</v>
      </c>
      <c r="O21" s="1028">
        <f t="shared" si="7"/>
        <v>0</v>
      </c>
      <c r="P21" s="1028">
        <f t="shared" si="7"/>
        <v>0</v>
      </c>
      <c r="Q21" s="969">
        <f t="shared" si="7"/>
        <v>777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2256</v>
      </c>
      <c r="AC21" s="968">
        <f t="shared" si="8"/>
        <v>1114</v>
      </c>
      <c r="AD21" s="968">
        <f t="shared" si="8"/>
        <v>0</v>
      </c>
      <c r="AE21" s="968">
        <f t="shared" si="8"/>
        <v>0</v>
      </c>
      <c r="AF21" s="975">
        <f t="shared" si="8"/>
        <v>1673</v>
      </c>
      <c r="AG21" s="975">
        <f t="shared" si="8"/>
        <v>0</v>
      </c>
      <c r="AH21" s="975">
        <f t="shared" si="8"/>
        <v>246</v>
      </c>
      <c r="AI21" s="975">
        <f t="shared" si="8"/>
        <v>0</v>
      </c>
      <c r="AJ21" s="968">
        <f t="shared" si="8"/>
        <v>0</v>
      </c>
      <c r="AK21" s="975">
        <f t="shared" si="8"/>
        <v>0</v>
      </c>
      <c r="AL21" s="975">
        <f t="shared" si="8"/>
        <v>0</v>
      </c>
      <c r="AM21" s="975">
        <f t="shared" si="8"/>
        <v>8696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782</v>
      </c>
      <c r="BD21" s="967">
        <f t="shared" si="8"/>
        <v>2126</v>
      </c>
      <c r="BE21" s="967">
        <f t="shared" si="8"/>
        <v>0</v>
      </c>
      <c r="BF21" s="977">
        <f t="shared" si="8"/>
        <v>0</v>
      </c>
      <c r="BG21" s="1062">
        <f>IF(ISNUMBER(Datos!K21/Datos!J21),Datos!K21/Datos!J21," - ")</f>
        <v>0.98275136726966761</v>
      </c>
      <c r="BH21" s="1062">
        <f>IF(ISNUMBER(((Datos!L21/Datos!K21)*11)/factor_trimestre),((Datos!L21/Datos!K21)*11)/factor_trimestre," - ")</f>
        <v>3.8732876712328768</v>
      </c>
      <c r="BI21" s="960">
        <f>IF(ISNUMBER(Datos!J21/Datos!I21),Datos!J21/Datos!I21," - ")</f>
        <v>0.80371935756551138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-1.4443021766965429</v>
      </c>
      <c r="BM21" s="1036">
        <f>IF(ISNUMBER((Datos!P21-Datos!Q21+R21)/(Datos!R21-Datos!P21+Datos!Q21-R21)),(Datos!P21-Datos!Q21+R21)/(Datos!R21-Datos!P21+Datos!Q21-R21)," - ")</f>
        <v>-3.7307649728772277E-2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618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2.6076809620810595</v>
      </c>
      <c r="F23" s="600">
        <f>IF(ISNUMBER(STDEV(F8:F20)),STDEV(F8:F20),"-")</f>
        <v>824.45618440278554</v>
      </c>
      <c r="G23" s="601">
        <f>IF(ISNUMBER(STDEV(G8:G20)),STDEV(G8:G20),"-")</f>
        <v>743.85852149451102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1118.1157364065673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192.02331207682147</v>
      </c>
      <c r="BD23" s="600"/>
      <c r="BE23" s="600">
        <f>IF(ISNUMBER(STDEV(BE8:BE20)),STDEV(BE8:BE20),"-")</f>
        <v>0</v>
      </c>
      <c r="BF23" s="605">
        <f>IF(ISNUMBER(STDEV(BF8:BF20)),STDEV(BF8:BF20),"-")</f>
        <v>0</v>
      </c>
      <c r="BG23" s="915">
        <f>IF(ISNUMBER(STDEV(BG8:BG20)),STDEV(BG8:BG20),"-")</f>
        <v>0.13717454604806209</v>
      </c>
      <c r="BH23" s="919">
        <f>IF(ISNUMBER(STDEV(BH8:BH20)),STDEV(BH8:BH20),"-")</f>
        <v>3.3856368124939173</v>
      </c>
      <c r="BI23" s="254">
        <f>IF(ISNUMBER(STDEV(BI8:BI20)),STDEV(BI8:BI20),"-")</f>
        <v>0.14351912167016675</v>
      </c>
      <c r="BJ23" s="235" t="str">
        <f>IF(ISNUMBER(BL23/BM23),BL23/BM23," - ")</f>
        <v xml:space="preserve"> - </v>
      </c>
      <c r="BK23" s="627"/>
      <c r="BL23" s="608">
        <f>IF(ISNUMBER(STDEV(BL8:BL20)),STDEV(BL8:BL20),"-")</f>
        <v>0.80240188865160245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mZ3v2iqHJK8JUzdZPZoZT8YVCWtJc1E1DrHOaarrii/a7dIKvEuNnqPlqcGOTv5Lx9e+E53eeQrK/kdEumgog==" saltValue="dtwSr0rCrXpZfbxbRkLN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GANDIA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6</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597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985</v>
      </c>
      <c r="AA9" s="506" t="str">
        <f>IF(ISNUMBER(IF(J_V="SI",Datos!L9,Datos!L9+Datos!AB9)-IF(Monitorios="SI",Datos!CD9,0)),
                          IF(J_V="SI",Datos!L9,Datos!L9+Datos!AB9)-IF(Monitorios="SI",Datos!CD9,0),
                          " - ")</f>
        <v xml:space="preserve"> - </v>
      </c>
      <c r="AB9" s="504"/>
      <c r="AC9" s="504"/>
      <c r="AD9" s="517"/>
      <c r="AE9" s="517">
        <f>IF(ISNUMBER(Datos!R9),Datos!R9," - ")</f>
        <v>7967</v>
      </c>
      <c r="AF9" s="620" t="str">
        <f>IF(ISNUMBER(Datos!BV9),Datos!BV9," - ")</f>
        <v xml:space="preserve"> - </v>
      </c>
      <c r="AG9" s="507" t="str">
        <f>IF(ISNUMBER(Datos!DV9),Datos!DV9," - ")</f>
        <v xml:space="preserve"> - </v>
      </c>
      <c r="AH9" s="508"/>
      <c r="AI9" s="509"/>
      <c r="AJ9" s="507">
        <f>IF(ISNUMBER(Datos!M9),Datos!M9," - ")</f>
        <v>339</v>
      </c>
      <c r="AK9" s="620">
        <f>IF(ISNUMBER(Datos!N9),Datos!N9," - ")</f>
        <v>906</v>
      </c>
      <c r="AL9" s="620" t="str">
        <f>IF(ISNUMBER(Datos!BW9),Datos!BW9," - ")</f>
        <v xml:space="preserve"> - </v>
      </c>
      <c r="AM9" s="668" t="str">
        <f>IF(ISNUMBER(Datos!BX9),Datos!BX9," - ")</f>
        <v xml:space="preserve"> - </v>
      </c>
      <c r="AN9" s="669"/>
      <c r="AO9" s="670">
        <f>IF(ISNUMBER(((NºAsuntos!I9/NºAsuntos!G9)*11)/factor_trimestre),((NºAsuntos!I9/NºAsuntos!G9)*11)/factor_trimestre," - ")</f>
        <v>5.1916572717023675</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-4.6439257929383602E-2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67</v>
      </c>
      <c r="G10" s="507">
        <f>IF(ISNUMBER(Datos!I10),Datos!I10," - ")</f>
        <v>67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24</v>
      </c>
      <c r="Z10" s="704">
        <f>IF(ISNUMBER(Datos!Q10),Datos!Q10," - ")</f>
        <v>9</v>
      </c>
      <c r="AA10" s="506">
        <f>IF(ISNUMBER(Datos!L10),Datos!L10,"-")</f>
        <v>80</v>
      </c>
      <c r="AB10" s="504"/>
      <c r="AC10" s="504"/>
      <c r="AD10" s="517"/>
      <c r="AE10" s="517">
        <f>IF(ISNUMBER(Datos!R10),Datos!R10," - ")</f>
        <v>66</v>
      </c>
      <c r="AF10" s="620" t="str">
        <f>IF(ISNUMBER(Datos!BV10),Datos!BV10," - ")</f>
        <v xml:space="preserve"> - </v>
      </c>
      <c r="AG10" s="507" t="str">
        <f>IF(ISNUMBER(Datos!DV10),Datos!DV10," - ")</f>
        <v xml:space="preserve"> - </v>
      </c>
      <c r="AH10" s="508"/>
      <c r="AI10" s="509"/>
      <c r="AJ10" s="507">
        <f>IF(ISNUMBER(Datos!M10),Datos!M10," - ")</f>
        <v>6</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10.000000000000002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8.1967213114754092E-2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v>
      </c>
      <c r="AA12" s="506" t="str">
        <f>IF(ISNUMBER(IF(J_V="SI",Datos!L12,Datos!L12+Datos!AB12)-IF(Monitorios="SI",Datos!CD12,0)),
                          IF(J_V="SI",Datos!L12,Datos!L12+Datos!AB12)-IF(Monitorios="SI",Datos!CD12,0),
                          " - ")</f>
        <v xml:space="preserve"> - </v>
      </c>
      <c r="AB12" s="504"/>
      <c r="AC12" s="504"/>
      <c r="AD12" s="517"/>
      <c r="AE12" s="517">
        <f>IF(ISNUMBER(Datos!R12),Datos!R12," - ")</f>
        <v>279</v>
      </c>
      <c r="AF12" s="620" t="str">
        <f>IF(ISNUMBER(Datos!BV12),Datos!BV12," - ")</f>
        <v xml:space="preserve"> - </v>
      </c>
      <c r="AG12" s="507" t="str">
        <f>IF(ISNUMBER(Datos!DV12),Datos!DV12," - ")</f>
        <v xml:space="preserve"> - </v>
      </c>
      <c r="AH12" s="508"/>
      <c r="AI12" s="509"/>
      <c r="AJ12" s="507">
        <f>IF(ISNUMBER(Datos!M12),Datos!M12," - ")</f>
        <v>0</v>
      </c>
      <c r="AK12" s="620">
        <f>IF(ISNUMBER(Datos!N12),Datos!N12," - ")</f>
        <v>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0</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-7.1174377224199285E-3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67</v>
      </c>
      <c r="G14" s="1045">
        <f>SUBTOTAL(9,G8:G13)</f>
        <v>67</v>
      </c>
      <c r="H14" s="1055"/>
      <c r="I14" s="1045">
        <f t="shared" ref="I14:N14" si="1">SUBTOTAL(9,I8:I13)</f>
        <v>0</v>
      </c>
      <c r="J14" s="1014">
        <f t="shared" si="1"/>
        <v>0</v>
      </c>
      <c r="K14" s="1055">
        <f t="shared" si="1"/>
        <v>0</v>
      </c>
      <c r="L14" s="1055">
        <f t="shared" si="1"/>
        <v>0</v>
      </c>
      <c r="M14" s="1055">
        <f t="shared" si="1"/>
        <v>0</v>
      </c>
      <c r="N14" s="1055">
        <f t="shared" si="1"/>
        <v>611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24</v>
      </c>
      <c r="Z14" s="1054">
        <f t="shared" si="3"/>
        <v>996</v>
      </c>
      <c r="AA14" s="1047">
        <f t="shared" si="3"/>
        <v>80</v>
      </c>
      <c r="AB14" s="1047">
        <f t="shared" si="3"/>
        <v>0</v>
      </c>
      <c r="AC14" s="1047">
        <f t="shared" si="3"/>
        <v>0</v>
      </c>
      <c r="AD14" s="1047">
        <f t="shared" si="3"/>
        <v>0</v>
      </c>
      <c r="AE14" s="1047">
        <f t="shared" si="3"/>
        <v>8312</v>
      </c>
      <c r="AF14" s="1055">
        <f t="shared" si="3"/>
        <v>0</v>
      </c>
      <c r="AG14" s="1055">
        <f t="shared" si="3"/>
        <v>0</v>
      </c>
      <c r="AH14" s="1055">
        <f t="shared" si="3"/>
        <v>0</v>
      </c>
      <c r="AI14" s="1055">
        <f t="shared" si="3"/>
        <v>0</v>
      </c>
      <c r="AJ14" s="1055">
        <f t="shared" si="3"/>
        <v>345</v>
      </c>
      <c r="AK14" s="1055">
        <f t="shared" si="3"/>
        <v>921</v>
      </c>
      <c r="AL14" s="1055">
        <f t="shared" si="3"/>
        <v>0</v>
      </c>
      <c r="AM14" s="1055">
        <f t="shared" si="3"/>
        <v>0</v>
      </c>
      <c r="AN14" s="1055">
        <f t="shared" si="3"/>
        <v>0</v>
      </c>
      <c r="AO14" s="1051">
        <f>IF(ISNUMBER(((NºAsuntos!I14/NºAsuntos!G14)*11)/factor_trimestre),((NºAsuntos!I14/NºAsuntos!G14)*11)/factor_trimestre," - ")</f>
        <v>5.2326880119136261</v>
      </c>
      <c r="AP14" s="1057" t="str">
        <f>IF(ISNUMBER(Datos!CI14/Datos!CJ14),Datos!CI14/Datos!CJ14," - ")</f>
        <v xml:space="preserve"> - </v>
      </c>
      <c r="AQ14" s="1075">
        <f t="shared" ref="AQ14:AV14" si="4">SUBTOTAL(9,AQ9:AQ13)</f>
        <v>0</v>
      </c>
      <c r="AR14" s="1075">
        <f t="shared" si="4"/>
        <v>2.8410517462950563E-2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3</v>
      </c>
      <c r="B16" s="654" t="s">
        <v>437</v>
      </c>
      <c r="C16" s="671" t="str">
        <f>Datos!A16</f>
        <v xml:space="preserve">Jdos. Instrucción                               </v>
      </c>
      <c r="D16" s="544"/>
      <c r="E16" s="1337">
        <f>IF(ISNUMBER(Datos!AQ16),Datos!AQ16," - ")</f>
        <v>3</v>
      </c>
      <c r="F16" s="498">
        <f>IF(ISNUMBER(AA16+Y16-Datos!J16-K16),AA16+Y16-Datos!J16-K16," - ")</f>
        <v>1495</v>
      </c>
      <c r="G16" s="507">
        <f>IF(ISNUMBER(IF(D_I="SI",Datos!I16,Datos!I16+Datos!AC16)),IF(D_I="SI",Datos!I16,Datos!I16+Datos!AC16)," - ")</f>
        <v>1386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148</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2010</v>
      </c>
      <c r="Z16" s="704">
        <f>IF(ISNUMBER(Datos!Q16),Datos!Q16," - ")</f>
        <v>106</v>
      </c>
      <c r="AA16" s="506">
        <f>IF(ISNUMBER(IF(D_I="SI",Datos!L16,Datos!L16+Datos!AF16)),IF(D_I="SI",Datos!L16,Datos!L16+Datos!AF16)," - ")</f>
        <v>1493</v>
      </c>
      <c r="AB16" s="504"/>
      <c r="AC16" s="504"/>
      <c r="AD16" s="517"/>
      <c r="AE16" s="517">
        <f>IF(ISNUMBER(Datos!R16),Datos!R16," - ")</f>
        <v>358</v>
      </c>
      <c r="AF16" s="620" t="str">
        <f>IF(ISNUMBER(Datos!BV16),Datos!BV16," - ")</f>
        <v xml:space="preserve"> - </v>
      </c>
      <c r="AG16" s="507"/>
      <c r="AH16" s="508"/>
      <c r="AI16" s="509"/>
      <c r="AJ16" s="507">
        <f>IF(ISNUMBER(Datos!M16),Datos!M16," - ")</f>
        <v>377</v>
      </c>
      <c r="AK16" s="620">
        <f>IF(ISNUMBER(Datos!N16),Datos!N16," - ")</f>
        <v>1040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2.2283582089552239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92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18</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222</v>
      </c>
      <c r="Z18" s="704">
        <f>IF(ISNUMBER(Datos!Q18),Datos!Q18," - ")</f>
        <v>12</v>
      </c>
      <c r="AA18" s="506">
        <f>IF(ISNUMBER(Datos!L18),Datos!L18,"-")</f>
        <v>100</v>
      </c>
      <c r="AB18" s="504"/>
      <c r="AC18" s="504"/>
      <c r="AD18" s="517"/>
      <c r="AE18" s="517">
        <f>IF(ISNUMBER(Datos!R18),Datos!R18," - ")</f>
        <v>26</v>
      </c>
      <c r="AF18" s="620" t="str">
        <f>IF(ISNUMBER(Datos!BV18),Datos!BV18," - ")</f>
        <v xml:space="preserve"> - </v>
      </c>
      <c r="AG18" s="507" t="str">
        <f>IF(ISNUMBER(Datos!DV18),Datos!DV18," - ")</f>
        <v xml:space="preserve"> - </v>
      </c>
      <c r="AH18" s="508"/>
      <c r="AI18" s="509"/>
      <c r="AJ18" s="507">
        <f>IF(ISNUMBER(Datos!M18),Datos!M18," - ")</f>
        <v>60</v>
      </c>
      <c r="AK18" s="620">
        <f>IF(ISNUMBER(Datos!N18),Datos!N18," - ")</f>
        <v>165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1.3513513513513513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1495</v>
      </c>
      <c r="G20" s="1045">
        <f>SUBTOTAL(9,G16:G19)</f>
        <v>1478</v>
      </c>
      <c r="H20" s="1079">
        <f>SUBTOTAL(9,H16:H19)</f>
        <v>0</v>
      </c>
      <c r="I20" s="1058">
        <f>SUBTOTAL(9,I16:I19)</f>
        <v>0</v>
      </c>
      <c r="J20" s="1014">
        <f>SUBTOTAL(9,J15:J19)</f>
        <v>0</v>
      </c>
      <c r="K20" s="1079">
        <f t="shared" ref="K20:S20" si="5">SUBTOTAL(9,K16:K19)</f>
        <v>0</v>
      </c>
      <c r="L20" s="1079">
        <f t="shared" si="5"/>
        <v>0</v>
      </c>
      <c r="M20" s="1079">
        <f t="shared" si="5"/>
        <v>0</v>
      </c>
      <c r="N20" s="1079">
        <f t="shared" si="5"/>
        <v>166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2232</v>
      </c>
      <c r="Z20" s="1079">
        <f t="shared" si="6"/>
        <v>118</v>
      </c>
      <c r="AA20" s="1079">
        <f t="shared" si="6"/>
        <v>1593</v>
      </c>
      <c r="AB20" s="1079">
        <f t="shared" si="6"/>
        <v>0</v>
      </c>
      <c r="AC20" s="1079">
        <f t="shared" si="6"/>
        <v>0</v>
      </c>
      <c r="AD20" s="1079">
        <f t="shared" si="6"/>
        <v>0</v>
      </c>
      <c r="AE20" s="1079">
        <f t="shared" si="6"/>
        <v>384</v>
      </c>
      <c r="AF20" s="1079">
        <f t="shared" si="6"/>
        <v>0</v>
      </c>
      <c r="AG20" s="1079">
        <f t="shared" si="6"/>
        <v>0</v>
      </c>
      <c r="AH20" s="1079">
        <f t="shared" si="6"/>
        <v>0</v>
      </c>
      <c r="AI20" s="1079">
        <f t="shared" si="6"/>
        <v>0</v>
      </c>
      <c r="AJ20" s="1079">
        <f t="shared" si="6"/>
        <v>437</v>
      </c>
      <c r="AK20" s="1079">
        <f t="shared" si="6"/>
        <v>1205</v>
      </c>
      <c r="AL20" s="1079">
        <f t="shared" si="6"/>
        <v>0</v>
      </c>
      <c r="AM20" s="1079">
        <f t="shared" si="6"/>
        <v>0</v>
      </c>
      <c r="AN20" s="1079">
        <f t="shared" si="6"/>
        <v>0</v>
      </c>
      <c r="AO20" s="1081">
        <f>IF(ISNUMBER(((NºAsuntos!I20/NºAsuntos!G20)*11)/factor_trimestre),((NºAsuntos!I20/NºAsuntos!G20)*11)/factor_trimestre," - ")</f>
        <v>2.1411290322580649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11</v>
      </c>
      <c r="F21" s="967">
        <f t="shared" si="8"/>
        <v>1562</v>
      </c>
      <c r="G21" s="967">
        <f t="shared" si="8"/>
        <v>1545</v>
      </c>
      <c r="H21" s="968">
        <f t="shared" si="8"/>
        <v>0</v>
      </c>
      <c r="I21" s="967">
        <f t="shared" si="8"/>
        <v>0</v>
      </c>
      <c r="J21" s="969">
        <f t="shared" si="8"/>
        <v>0</v>
      </c>
      <c r="K21" s="967">
        <f t="shared" si="8"/>
        <v>0</v>
      </c>
      <c r="L21" s="970">
        <f t="shared" si="8"/>
        <v>0</v>
      </c>
      <c r="M21" s="967">
        <f t="shared" si="8"/>
        <v>0</v>
      </c>
      <c r="N21" s="968">
        <f t="shared" si="8"/>
        <v>777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2256</v>
      </c>
      <c r="Z21" s="974">
        <f t="shared" si="9"/>
        <v>1114</v>
      </c>
      <c r="AA21" s="975">
        <f t="shared" si="9"/>
        <v>1673</v>
      </c>
      <c r="AB21" s="975">
        <f t="shared" si="9"/>
        <v>0</v>
      </c>
      <c r="AC21" s="975">
        <f t="shared" si="9"/>
        <v>0</v>
      </c>
      <c r="AD21" s="976">
        <f t="shared" si="9"/>
        <v>0</v>
      </c>
      <c r="AE21" s="976">
        <f t="shared" si="9"/>
        <v>8696</v>
      </c>
      <c r="AF21" s="977">
        <f t="shared" si="9"/>
        <v>0</v>
      </c>
      <c r="AG21" s="978">
        <f t="shared" si="9"/>
        <v>0</v>
      </c>
      <c r="AH21" s="979">
        <f t="shared" si="9"/>
        <v>0</v>
      </c>
      <c r="AI21" s="977">
        <f t="shared" si="9"/>
        <v>0</v>
      </c>
      <c r="AJ21" s="967">
        <f t="shared" si="9"/>
        <v>782</v>
      </c>
      <c r="AK21" s="967">
        <f t="shared" si="9"/>
        <v>2126</v>
      </c>
      <c r="AL21" s="967">
        <f t="shared" si="9"/>
        <v>0</v>
      </c>
      <c r="AM21" s="980">
        <f t="shared" si="9"/>
        <v>0</v>
      </c>
      <c r="AN21" s="970">
        <f>IF(ISNUMBER(Datos!K21/Datos!J21),Datos!K21/Datos!J21," - ")</f>
        <v>0.98275136726966761</v>
      </c>
      <c r="AO21" s="970">
        <f>IF(ISNUMBER(FIND("06",Criterios!A8,1)),(IF(ISNUMBER(((Datos!R21/Datos!Q21)*11)/factor_trimestre),((Datos!R21/Datos!Q21)*11)/factor_trimestre," - ")),(IF(ISNUMBER(((Datos!L21/Datos!K21)*11)/factor_trimestre),((Datos!L21/Datos!K21)*11)/factor_trimestre," - ")))</f>
        <v>3.8732876712328768</v>
      </c>
      <c r="AP21" s="981" t="str">
        <f>IF(ISNUMBER(Datos!CI21/Datos!CJ21),Datos!CI21/Datos!CJ21," - ")</f>
        <v xml:space="preserve"> - </v>
      </c>
      <c r="AQ21" s="981">
        <f>IF(OR(ISNUMBER(FIND("01",Criterios!A8,1)),ISNUMBER(FIND("02",Criterios!A8,1)),ISNUMBER(FIND("03",Criterios!A8,1)),ISNUMBER(FIND("04",Criterios!A8,1))),(J21-Y21+K21)/(F21-K21),(I21-Y21+K21)/(F21-K21))</f>
        <v>-1.4443021766965429</v>
      </c>
      <c r="AR21" s="981">
        <f>IF(ISNUMBER((Datos!P21-Datos!Q21+O21)/(Datos!R21-Datos!P21+Datos!Q21-O21)),(Datos!P21-Datos!Q21+O21)/(Datos!R21-Datos!P21+Datos!Q21-O21)," - ")</f>
        <v>-3.7307649728772277E-2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618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824.45618440278554</v>
      </c>
      <c r="G23" s="601">
        <f>IF(ISNUMBER(STDEV(G8:G20)),STDEV(G8:G20),"-")</f>
        <v>743.85852149451102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192.02331207682147</v>
      </c>
      <c r="AK23" s="257"/>
      <c r="AL23" s="257">
        <f>IF(ISNUMBER(STDEV(AL8:AL20)),STDEV(AL8:AL20),"-")</f>
        <v>0</v>
      </c>
      <c r="AM23" s="259">
        <f>IF(ISNUMBER(STDEV(AM8:AM20)),STDEV(AM8:AM20),"-")</f>
        <v>0</v>
      </c>
      <c r="AN23" s="587">
        <f>IF(ISNUMBER(STDEV(AN8:AN20)),STDEV(AN8:AN20),"-")</f>
        <v>0</v>
      </c>
      <c r="AO23" s="588">
        <f>IF(ISNUMBER(STDEV(AO8:AO20)),STDEV(AO8:AO20),"-")</f>
        <v>3.3679257912435481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TagjprkWyZP4voOoahzN9oQbaNy2EU0pm52uCh8Mt0m7oFkcpuK1N+nq2fW35nh4D4SS4lLvYrN1BHayG5s37A==" saltValue="7u6aaLkUCVRE/dQyCORa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EU4CHVyKduauFVvwRTfz0pTa0YgCHg6xEuJzr/A8x9RWoAQiC909kEDZj1rr1oqi3ch7oVG5765vlivevK9DA==" saltValue="Qzm2Y0DwKiH4K0TJsy9W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kS+Y1CthvLXqFQNHO3B46FgIY2T7cFRwfkp3kr3X8U/2z6lo6kpSy05hVepusEj8nHWMhJSALLIrTLlis1hNw==" saltValue="srqnhiNjnizuk3w1zpJ4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GANDIA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0.12844378257632166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9.0823469660967562E-2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GX7vKGH/jEEL5clU962q9BbN77URdzfCnEBwJPCMW/4r0PX8j73ydp1FotesKx9ylA3kbuuNoD30Y2u9Xpz9A==" saltValue="eNuJwJUyNNl8DbWR5OVh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xsVp+y3CWAvfXvby8RhYTZ66lDKOoCw9nvMcrPxTxb5b8OYYXDo2zhrnUe9avGhqZHtsO38DEEP35Z89CLOz1w==" saltValue="azXS4Qa4lTav9v3o0urP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GANDIA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6</v>
      </c>
      <c r="C9" s="415">
        <f>IF(ISNUMBER(IF(J_V="SI",Datos!I9,Datos!I9+Datos!Y9)),IF(J_V="SI",Datos!I9,Datos!I9+Datos!Y9)," - ")</f>
        <v>4605</v>
      </c>
      <c r="D9" s="416">
        <f>IF(ISNUMBER(C9/Datos!BH9),C9/Datos!BH9," - ")</f>
        <v>767.5</v>
      </c>
      <c r="E9" s="415">
        <f>IF(ISNUMBER(IF(J_V="SI",Datos!J9,Datos!J9+Datos!Z9)),IF(J_V="SI",Datos!J9,Datos!J9+Datos!Z9)," - ")</f>
        <v>2723</v>
      </c>
      <c r="F9" s="416">
        <f>IF(ISNUMBER(E9/B9),E9/B9," - ")</f>
        <v>453.83333333333331</v>
      </c>
      <c r="G9" s="415">
        <f>IF(ISNUMBER(IF(J_V="SI",Datos!K9,Datos!K9+Datos!AA9)),IF(J_V="SI",Datos!K9,Datos!K9+Datos!AA9)," - ")</f>
        <v>2661</v>
      </c>
      <c r="H9" s="416">
        <f>IF(ISNUMBER(G9/B9),G9/B9," - ")</f>
        <v>443.5</v>
      </c>
      <c r="I9" s="415">
        <f>IF(ISNUMBER(IF(J_V="SI",Datos!L9,Datos!L9+Datos!AB9)),IF(J_V="SI",Datos!L9,Datos!L9+Datos!AB9)," - ")</f>
        <v>4605</v>
      </c>
      <c r="J9" s="416">
        <f>IF(ISNUMBER(I9/B9),I9/B9," - ")</f>
        <v>767.5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67</v>
      </c>
      <c r="D10" s="416">
        <f>IF(ISNUMBER(C10/Datos!BH10),C10/Datos!BH10," - ")</f>
        <v>67</v>
      </c>
      <c r="E10" s="415">
        <f>IF(ISNUMBER(Datos!J10),Datos!J10," - ")</f>
        <v>37</v>
      </c>
      <c r="F10" s="416">
        <f>IF(ISNUMBER(E10/B10),E10/B10," - ")</f>
        <v>37</v>
      </c>
      <c r="G10" s="415">
        <f>IF(ISNUMBER(Datos!K10),Datos!K10," - ")</f>
        <v>24</v>
      </c>
      <c r="H10" s="416">
        <f>IF(ISNUMBER(G10/B10),G10/B10," - ")</f>
        <v>24</v>
      </c>
      <c r="I10" s="415">
        <f>IF(ISNUMBER(Datos!L10),Datos!L10," - ")</f>
        <v>80</v>
      </c>
      <c r="J10" s="416">
        <f>IF(ISNUMBER(I10/B10),I10/B10," - ")</f>
        <v>80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f>IF(ISNUMBER(IF(J_V="SI",Datos!I12,Datos!I12+Datos!Y12)),IF(J_V="SI",Datos!I12,Datos!I12+Datos!Y12)," - ")</f>
        <v>1</v>
      </c>
      <c r="D12" s="416" t="str">
        <f>IF(ISNUMBER(C12/Datos!BH12),C12/Datos!BH12," - ")</f>
        <v xml:space="preserve"> - </v>
      </c>
      <c r="E12" s="415">
        <f>IF(ISNUMBER(IF(J_V="SI",Datos!J12,Datos!J12+Datos!Z12)),IF(J_V="SI",Datos!J12,Datos!J12+Datos!Z12)," - ")</f>
        <v>0</v>
      </c>
      <c r="F12" s="416" t="str">
        <f>IF(ISNUMBER(E12/B12),E12/B12," - ")</f>
        <v xml:space="preserve"> - </v>
      </c>
      <c r="G12" s="415">
        <f>IF(ISNUMBER(IF(J_V="SI",Datos!K12,Datos!K12+Datos!AA12)),IF(J_V="SI",Datos!K12,Datos!K12+Datos!AA12)," - ")</f>
        <v>1</v>
      </c>
      <c r="H12" s="416" t="str">
        <f>IF(ISNUMBER(G12/B12),G12/B12," - ")</f>
        <v xml:space="preserve"> - </v>
      </c>
      <c r="I12" s="415">
        <f>IF(ISNUMBER(IF(J_V="SI",Datos!L12,Datos!L12+Datos!AB12)),IF(J_V="SI",Datos!L12,Datos!L12+Datos!AB12)," - ")</f>
        <v>0</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4673</v>
      </c>
      <c r="D14" s="997" t="str">
        <f>IF(ISNUMBER(C14/Datos!BI14),C14/Datos!BI14," - ")</f>
        <v xml:space="preserve"> - </v>
      </c>
      <c r="E14" s="996">
        <f>SUBTOTAL(9,E8:E13)</f>
        <v>2760</v>
      </c>
      <c r="F14" s="997">
        <f>IF(ISNUMBER(E14/B14),E14/B14," - ")</f>
        <v>394.28571428571428</v>
      </c>
      <c r="G14" s="996">
        <f>SUBTOTAL(9,G8:G13)</f>
        <v>2686</v>
      </c>
      <c r="H14" s="997">
        <f>IF(ISNUMBER(G14/B14),G14/B14," - ")</f>
        <v>383.71428571428572</v>
      </c>
      <c r="I14" s="996">
        <f>SUBTOTAL(9,I8:I13)</f>
        <v>4685</v>
      </c>
      <c r="J14" s="997">
        <f>IF(ISNUMBER(I14/B14),I14/B14," - ")</f>
        <v>669.28571428571433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3</v>
      </c>
      <c r="C16" s="415">
        <f>IF(ISNUMBER(IF(D_I="SI",Datos!I16,Datos!I16+Datos!AC16)),IF(D_I="SI",Datos!I16,Datos!I16+Datos!AC16)," - ")</f>
        <v>1386</v>
      </c>
      <c r="D16" s="416">
        <f>IF(ISNUMBER(C16/Datos!BH16),C16/Datos!BH16," - ")</f>
        <v>462</v>
      </c>
      <c r="E16" s="415">
        <f>IF(ISNUMBER(IF(D_I="SI",Datos!J16,Datos!J16+Datos!AD16)),IF(D_I="SI",Datos!J16,Datos!J16+Datos!AD16)," - ")</f>
        <v>2008</v>
      </c>
      <c r="F16" s="416">
        <f>IF(ISNUMBER(E16/B16),E16/B16," - ")</f>
        <v>669.33333333333337</v>
      </c>
      <c r="G16" s="415">
        <f>IF(ISNUMBER(IF(D_I="SI",Datos!K16,Datos!K16+Datos!AE16)),IF(D_I="SI",Datos!K16,Datos!K16+Datos!AE16)," - ")</f>
        <v>2010</v>
      </c>
      <c r="H16" s="416">
        <f>IF(ISNUMBER(G16/B16),G16/B16," - ")</f>
        <v>670</v>
      </c>
      <c r="I16" s="415">
        <f>IF(ISNUMBER(IF(D_I="SI",Datos!L16,Datos!L16+Datos!AF16)),IF(D_I="SI",Datos!L16,Datos!L16+Datos!AF16)," - ")</f>
        <v>1493</v>
      </c>
      <c r="J16" s="416">
        <f>IF(ISNUMBER(I16/B16),I16/B16," - ")</f>
        <v>497.66666666666669</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92</v>
      </c>
      <c r="D18" s="416">
        <f>IF(ISNUMBER(C18/Datos!BH18),C18/Datos!BH18," - ")</f>
        <v>92</v>
      </c>
      <c r="E18" s="415">
        <f>IF(ISNUMBER(IF(D_I="SI",Datos!J18,Datos!J18+Datos!AD18)),IF(D_I="SI",Datos!J18,Datos!J18+Datos!AD18)," - ")</f>
        <v>229</v>
      </c>
      <c r="F18" s="416">
        <f>IF(ISNUMBER(E18/B18),E18/B18," - ")</f>
        <v>229</v>
      </c>
      <c r="G18" s="415">
        <f>IF(ISNUMBER(IF(D_I="SI",Datos!K18,Datos!K18+Datos!AE18)),IF(D_I="SI",Datos!K18,Datos!K18+Datos!AE18)," - ")</f>
        <v>222</v>
      </c>
      <c r="H18" s="416">
        <f>IF(ISNUMBER(G18/B18),G18/B18," - ")</f>
        <v>222</v>
      </c>
      <c r="I18" s="415">
        <f>IF(ISNUMBER(IF(D_I="SI",Datos!L18,Datos!L18+Datos!AF18)),IF(D_I="SI",Datos!L18,Datos!L18+Datos!AF18)," - ")</f>
        <v>100</v>
      </c>
      <c r="J18" s="416">
        <f>IF(ISNUMBER(I18/B18),I18/B18," - ")</f>
        <v>100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1478</v>
      </c>
      <c r="D20" s="997" t="str">
        <f>IF(ISNUMBER(C20/Datos!BI20),C20/Datos!BI20," - ")</f>
        <v xml:space="preserve"> - </v>
      </c>
      <c r="E20" s="996">
        <f>SUBTOTAL(9,E15:E19)</f>
        <v>2237</v>
      </c>
      <c r="F20" s="997">
        <f>IF(ISNUMBER(E20/B20),E20/B20," - ")</f>
        <v>559.25</v>
      </c>
      <c r="G20" s="996">
        <f>SUBTOTAL(9,G15:G19)</f>
        <v>2232</v>
      </c>
      <c r="H20" s="997">
        <f>IF(ISNUMBER(G20/B20),G20/B20," - ")</f>
        <v>558</v>
      </c>
      <c r="I20" s="996">
        <f>SUBTOTAL(9,I15:I19)</f>
        <v>1593</v>
      </c>
      <c r="J20" s="997">
        <f>IF(ISNUMBER(I20/B20),I20/B20," - ")</f>
        <v>398.25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10</v>
      </c>
      <c r="C21" s="941">
        <f>SUBTOTAL(9,C9:C20)</f>
        <v>6151</v>
      </c>
      <c r="D21" s="942" t="str">
        <f>IF(ISNUMBER(C21/Datos!BI21),C21/Datos!BI21," - ")</f>
        <v xml:space="preserve"> - </v>
      </c>
      <c r="E21" s="941">
        <f>SUBTOTAL(9,E9:E20)</f>
        <v>4997</v>
      </c>
      <c r="F21" s="942">
        <f>IF(ISNUMBER(E21/B21),E21/B21," - ")</f>
        <v>499.7</v>
      </c>
      <c r="G21" s="941">
        <f>SUBTOTAL(9,G9:G20)</f>
        <v>4918</v>
      </c>
      <c r="H21" s="942">
        <f>IF(ISNUMBER(G21/B21),G21/B21," - ")</f>
        <v>491.8</v>
      </c>
      <c r="I21" s="941">
        <f>SUBTOTAL(9,I9:I20)</f>
        <v>6278</v>
      </c>
      <c r="J21" s="942">
        <f>IF(ISNUMBER(I21/B21),I21/B21," - ")</f>
        <v>627.79999999999995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E4s4HT4IfLc77+bAH9Po35rJVf/08XHJY+CpG/vXboe91nOiGiFM6PENxNE+bqDCgeGt9Ms13uWF8jbVfn/ow==" saltValue="kmTy9xTcBSrGSklKSgkzO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GANDIA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6</v>
      </c>
      <c r="B9" s="653" t="s">
        <v>273</v>
      </c>
      <c r="C9" s="671" t="str">
        <f>Datos!A9</f>
        <v xml:space="preserve">Jdos. 1ª Instancia   </v>
      </c>
      <c r="D9" s="544"/>
      <c r="E9" s="801">
        <f>IF(ISNUMBER(Datos!AQ9),Datos!AQ9," - ")</f>
        <v>6</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67</v>
      </c>
      <c r="G10" s="803">
        <f>IF(ISNUMBER(Datos!I10),Datos!I10," - ")</f>
        <v>67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24</v>
      </c>
      <c r="AC10" s="802" t="str">
        <f>IF(ISNUMBER(IF(D_I="SI",DatosP!K18,DatosP!K18+DatosP!AE18)),IF(D_I="SI",DatosP!K18,DatosP!K18+DatosP!AE18)," - ")</f>
        <v xml:space="preserve"> - </v>
      </c>
      <c r="AD10" s="804"/>
      <c r="AE10" s="804"/>
      <c r="AF10" s="807">
        <f>IF(ISNUMBER(Datos!L10),Datos!L10,"-")</f>
        <v>80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10.000000000000002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279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0</v>
      </c>
      <c r="AM12" s="811">
        <f>IF(ISNUMBER(Datos!N12+DatosP!N17),Datos!N12+DatosP!N17," - ")</f>
        <v>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0</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-7.1174377224199285E-3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67</v>
      </c>
      <c r="G14" s="1085">
        <f t="shared" si="0"/>
        <v>67</v>
      </c>
      <c r="H14" s="1085">
        <f t="shared" si="0"/>
        <v>0</v>
      </c>
      <c r="I14" s="1087">
        <f t="shared" si="0"/>
        <v>0</v>
      </c>
      <c r="J14" s="1086">
        <f t="shared" si="0"/>
        <v>0</v>
      </c>
      <c r="K14" s="1086">
        <f t="shared" si="0"/>
        <v>0</v>
      </c>
      <c r="L14" s="1088">
        <f t="shared" si="0"/>
        <v>0</v>
      </c>
      <c r="M14" s="1088">
        <f t="shared" si="0"/>
        <v>0</v>
      </c>
      <c r="N14" s="1086">
        <f t="shared" si="0"/>
        <v>14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24</v>
      </c>
      <c r="AC14" s="1086">
        <f t="shared" si="1"/>
        <v>0</v>
      </c>
      <c r="AD14" s="1086">
        <f t="shared" si="1"/>
        <v>2</v>
      </c>
      <c r="AE14" s="1086">
        <f t="shared" si="1"/>
        <v>0</v>
      </c>
      <c r="AF14" s="1086">
        <f t="shared" si="1"/>
        <v>80</v>
      </c>
      <c r="AG14" s="1086">
        <f t="shared" si="1"/>
        <v>0</v>
      </c>
      <c r="AH14" s="1086">
        <f t="shared" si="1"/>
        <v>279</v>
      </c>
      <c r="AI14" s="1086">
        <f t="shared" si="1"/>
        <v>0</v>
      </c>
      <c r="AJ14" s="1086">
        <f t="shared" si="1"/>
        <v>0</v>
      </c>
      <c r="AK14" s="1086">
        <f t="shared" si="1"/>
        <v>0</v>
      </c>
      <c r="AL14" s="1086">
        <f t="shared" si="1"/>
        <v>6</v>
      </c>
      <c r="AM14" s="1086">
        <f t="shared" si="1"/>
        <v>15</v>
      </c>
      <c r="AN14" s="1086">
        <f t="shared" si="1"/>
        <v>0</v>
      </c>
      <c r="AO14" s="1086">
        <f t="shared" si="1"/>
        <v>0</v>
      </c>
      <c r="AP14" s="1091">
        <f>IF(ISNUMBER(((Datos!L14/Datos!K14)*11)/factor_trimestre),((Datos!L14/Datos!K14)*11)/factor_trimestre," - ")</f>
        <v>5.4577868852459019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-0.35820895522388058</v>
      </c>
      <c r="AU14" s="1086" t="str">
        <f>IF(ISNUMBER((DatosP!#REF!-DatosP!#REF!+DatosP!#REF!)/(DatosP!#REF!+DatosP!#REF!-DatosP!#REF!-DatosP!#REF!)),(DatosP!#REF!-DatosP!#REF!+DatosP!#REF!)/(DatosP!#REF!+DatosP!#REF!-DatosP!#REF!-DatosP!#REF!)," - ")</f>
        <v xml:space="preserve"> - </v>
      </c>
      <c r="AV14" s="1092">
        <f>SUBTOTAL(9,AV9:AV13)</f>
        <v>-7.1174377224199285E-3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3</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2.1411290322580649</v>
      </c>
      <c r="AQ20" s="1091">
        <f>IF(ISNUMBER(((Datos!M20/Datos!L20)*11)/factor_trimestre),((Datos!M20/Datos!L20)*11)/factor_trimestre," - ")</f>
        <v>0.82297551789077206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0.14285714285714285</v>
      </c>
      <c r="AW20" s="1093">
        <f>IF(ISNUMBER((Datos!Q20-Datos!R20)/(Datos!S20-Datos!Q20+Datos!R20)),(Datos!Q20-Datos!R20)/(Datos!S20-Datos!Q20+Datos!R20)," - ")</f>
        <v>-0.14960629921259844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67</v>
      </c>
      <c r="G21" s="1098">
        <f t="shared" si="4"/>
        <v>67</v>
      </c>
      <c r="H21" s="1098">
        <f t="shared" si="4"/>
        <v>0</v>
      </c>
      <c r="I21" s="1099">
        <f t="shared" si="4"/>
        <v>0</v>
      </c>
      <c r="J21" s="1100">
        <f t="shared" si="4"/>
        <v>0</v>
      </c>
      <c r="K21" s="1100">
        <f t="shared" si="4"/>
        <v>0</v>
      </c>
      <c r="L21" s="1100">
        <f t="shared" si="4"/>
        <v>0</v>
      </c>
      <c r="M21" s="1100">
        <f t="shared" si="4"/>
        <v>0</v>
      </c>
      <c r="N21" s="1099">
        <f t="shared" si="4"/>
        <v>14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24</v>
      </c>
      <c r="AC21" s="1104">
        <f t="shared" si="5"/>
        <v>0</v>
      </c>
      <c r="AD21" s="1104">
        <f t="shared" si="5"/>
        <v>2</v>
      </c>
      <c r="AE21" s="1104">
        <f t="shared" si="5"/>
        <v>0</v>
      </c>
      <c r="AF21" s="1105">
        <f t="shared" si="5"/>
        <v>80</v>
      </c>
      <c r="AG21" s="1105">
        <f t="shared" si="5"/>
        <v>0</v>
      </c>
      <c r="AH21" s="1105">
        <f t="shared" si="5"/>
        <v>279</v>
      </c>
      <c r="AI21" s="1105">
        <f t="shared" si="5"/>
        <v>0</v>
      </c>
      <c r="AJ21" s="1106">
        <f t="shared" si="5"/>
        <v>0</v>
      </c>
      <c r="AK21" s="1106">
        <f t="shared" si="5"/>
        <v>0</v>
      </c>
      <c r="AL21" s="1098">
        <f t="shared" si="5"/>
        <v>6</v>
      </c>
      <c r="AM21" s="1098">
        <f t="shared" si="5"/>
        <v>15</v>
      </c>
      <c r="AN21" s="1098">
        <f t="shared" si="5"/>
        <v>0</v>
      </c>
      <c r="AO21" s="1098">
        <f t="shared" si="5"/>
        <v>0</v>
      </c>
      <c r="AP21" s="1098">
        <f>IF(ISNUMBER(((Datos!L21/Datos!K21)*11)/factor_trimestre),((Datos!L21/Datos!K21)*11)/factor_trimestre," - ")</f>
        <v>3.8732876712328768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-0.35820895522388058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-3.7307649728772277E-2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44.666666666666664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3.1091263510296048</v>
      </c>
      <c r="F23" s="870">
        <f>IF(ISNUMBER(STDEV(F8:F20)),STDEV(F8:F20),"-")</f>
        <v>38.682468035704929</v>
      </c>
      <c r="G23" s="871">
        <f>IF(ISNUMBER(STDEV(G8:G20)),STDEV(G8:G20),"-")</f>
        <v>38.682468035704929</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13.856406460551018</v>
      </c>
      <c r="AC23" s="872">
        <f>IF(ISNUMBER(STDEV(AC8:AC20)),STDEV(AC8:AC20),"-")</f>
        <v>0</v>
      </c>
      <c r="AD23" s="875"/>
      <c r="AE23" s="875"/>
      <c r="AF23" s="875"/>
      <c r="AG23" s="875"/>
      <c r="AH23" s="875"/>
      <c r="AI23" s="875"/>
      <c r="AJ23" s="876">
        <f>IF(ISNUMBER(STDEV(AJ8:AJ20)),STDEV(AJ8:AJ20),"-")</f>
        <v>0</v>
      </c>
      <c r="AK23" s="878"/>
      <c r="AL23" s="870">
        <f>IF(ISNUMBER(STDEV(AL8:AL20)),STDEV(AL8:AL20),"-")</f>
        <v>3.4641016151377544</v>
      </c>
      <c r="AM23" s="870"/>
      <c r="AN23" s="870">
        <f>IF(ISNUMBER(STDEV(AN8:AN20)),STDEV(AN8:AN20),"-")</f>
        <v>0</v>
      </c>
      <c r="AO23" s="876">
        <f>IF(ISNUMBER(STDEV(AO8:AO20)),STDEV(AO8:AO20),"-")</f>
        <v>0</v>
      </c>
      <c r="AP23" s="923">
        <f>IF(ISNUMBER(STDEV(AP8:AP20)),STDEV(AP8:AP20),"-")</f>
        <v>4.35665815542513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6F999BMJuEYmBk7SXbMq3utlOHG+ZQaLw5Du05b3sMaNm/ydlC+8vWWDxDgEwOtxMugk0NssstlbXklVQ/jg==" saltValue="xzOymkZ6GQER7SQ32JFF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GANDIA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6</v>
      </c>
      <c r="D9" s="415">
        <f>Datos!BK9</f>
        <v>0</v>
      </c>
      <c r="E9" s="415">
        <f>Datos!AQ9</f>
        <v>6</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3</v>
      </c>
      <c r="D16" s="415">
        <f>Datos!BK16</f>
        <v>0</v>
      </c>
      <c r="E16" s="415">
        <f>Datos!AQ16</f>
        <v>3</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jJO3j3qXEl3gqz7/Bizl1g+Spi7JpVlFjrR9bZy/rfh+vbiNIwX/7sEXSa4MvhGA68s9C/MsUE3FBuokVbgyQ==" saltValue="cP5zQ6tFO2u8NF6uKAYmY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GANDIA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6</v>
      </c>
      <c r="C9" s="422">
        <f>Datos!AQ9</f>
        <v>6</v>
      </c>
      <c r="D9" s="415">
        <f>IF(ISNUMBER(Datos!M9),Datos!M9," - ")</f>
        <v>339</v>
      </c>
      <c r="E9" s="416">
        <f t="shared" ref="E9:E14" si="0">IF(ISNUMBER(D9/B9),D9/B9," - ")</f>
        <v>56.5</v>
      </c>
      <c r="F9" s="415">
        <f>IF(ISNUMBER(Datos!N9),Datos!N9," - ")</f>
        <v>906</v>
      </c>
      <c r="G9" s="416">
        <f t="shared" ref="G9:G14" si="1">IF(ISNUMBER(F9/B9),F9/B9," - ")</f>
        <v>151</v>
      </c>
      <c r="H9" s="415">
        <f>IF(ISNUMBER(Datos!O9),Datos!O9," - ")</f>
        <v>1584</v>
      </c>
      <c r="I9" s="416">
        <f>IF(ISNUMBER(H9/B9),H9/B9," - ")</f>
        <v>264</v>
      </c>
    </row>
    <row r="10" spans="1:9">
      <c r="A10" s="414" t="str">
        <f>Datos!A10</f>
        <v>Jdos. Violencia contra la mujer</v>
      </c>
      <c r="B10" s="444">
        <f>Datos!AO10</f>
        <v>1</v>
      </c>
      <c r="C10" s="422">
        <f>Datos!AQ10</f>
        <v>1</v>
      </c>
      <c r="D10" s="415">
        <f>IF(ISNUMBER(Datos!M10),Datos!M10," - ")</f>
        <v>6</v>
      </c>
      <c r="E10" s="416">
        <f>IF(ISNUMBER(D10/B10),D10/B10," - ")</f>
        <v>6</v>
      </c>
      <c r="F10" s="415">
        <f>IF(ISNUMBER(Datos!N10),Datos!N10," - ")</f>
        <v>11</v>
      </c>
      <c r="G10" s="416">
        <f>IF(ISNUMBER(F10/B10),F10/B10," - ")</f>
        <v>11</v>
      </c>
      <c r="H10" s="415">
        <f>IF(ISNUMBER(Datos!O10),Datos!O10," - ")</f>
        <v>12</v>
      </c>
      <c r="I10" s="416">
        <f t="shared" ref="I10:I13" si="2">IF(ISNUMBER(H10/B10),H10/B10," - ")</f>
        <v>12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0</v>
      </c>
      <c r="C12" s="422">
        <f>Datos!AQ12</f>
        <v>0</v>
      </c>
      <c r="D12" s="415">
        <f>IF(ISNUMBER(Datos!M12),Datos!M12," - ")</f>
        <v>0</v>
      </c>
      <c r="E12" s="416" t="str">
        <f t="shared" si="0"/>
        <v xml:space="preserve"> - </v>
      </c>
      <c r="F12" s="415">
        <f>IF(ISNUMBER(Datos!N12),Datos!N12," - ")</f>
        <v>4</v>
      </c>
      <c r="G12" s="416" t="str">
        <f t="shared" si="1"/>
        <v xml:space="preserve"> - </v>
      </c>
      <c r="H12" s="415">
        <f>IF(ISNUMBER(Datos!O12),Datos!O12," - ")</f>
        <v>1</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7</v>
      </c>
      <c r="C14" s="998">
        <f>Datos!AR14</f>
        <v>7</v>
      </c>
      <c r="D14" s="996">
        <f>SUBTOTAL(9,D9:D13)</f>
        <v>345</v>
      </c>
      <c r="E14" s="997">
        <f t="shared" si="0"/>
        <v>49.285714285714285</v>
      </c>
      <c r="F14" s="996">
        <f>SUBTOTAL(9,F9:F13)</f>
        <v>921</v>
      </c>
      <c r="G14" s="997">
        <f t="shared" si="1"/>
        <v>131.57142857142858</v>
      </c>
      <c r="H14" s="996">
        <f>SUBTOTAL(9,H9:H13)</f>
        <v>1597</v>
      </c>
      <c r="I14" s="997">
        <f>IF(ISNUMBER(H14/B14),H14/B14," - ")</f>
        <v>228.14285714285714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3</v>
      </c>
      <c r="C16" s="445">
        <f>Datos!AQ16</f>
        <v>3</v>
      </c>
      <c r="D16" s="415">
        <f>IF(ISNUMBER(Datos!M16),Datos!M16," - ")</f>
        <v>377</v>
      </c>
      <c r="E16" s="416">
        <f t="shared" ref="E16:E20" si="3">IF(ISNUMBER(D16/B16),D16/B16," - ")</f>
        <v>125.66666666666667</v>
      </c>
      <c r="F16" s="415">
        <f>IF(ISNUMBER(Datos!N16),Datos!N16," - ")</f>
        <v>1040</v>
      </c>
      <c r="G16" s="416">
        <f t="shared" ref="G16:G20" si="4">IF(ISNUMBER(F16/B16),F16/B16," - ")</f>
        <v>346.66666666666669</v>
      </c>
      <c r="H16" s="415">
        <f>IF(ISNUMBER(Datos!O16),Datos!O16," - ")</f>
        <v>58</v>
      </c>
      <c r="I16" s="416">
        <f t="shared" ref="I16:I19" si="5">IF(ISNUMBER(H16/B16),H16/B16," - ")</f>
        <v>19.333333333333332</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60</v>
      </c>
      <c r="E18" s="416">
        <f>IF(ISNUMBER(D18/B18),D18/B18," - ")</f>
        <v>60</v>
      </c>
      <c r="F18" s="415">
        <f>IF(ISNUMBER(Datos!N18),Datos!N18," - ")</f>
        <v>165</v>
      </c>
      <c r="G18" s="416">
        <f>IF(ISNUMBER(F18/B18),F18/B18," - ")</f>
        <v>165</v>
      </c>
      <c r="H18" s="415">
        <f>IF(ISNUMBER(Datos!O18),Datos!O18," - ")</f>
        <v>13</v>
      </c>
      <c r="I18" s="416">
        <f t="shared" si="5"/>
        <v>13</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4</v>
      </c>
      <c r="D20" s="996">
        <f>SUBTOTAL(9,D16:D19)</f>
        <v>437</v>
      </c>
      <c r="E20" s="997">
        <f t="shared" si="3"/>
        <v>109.25</v>
      </c>
      <c r="F20" s="996">
        <f>SUBTOTAL(9,F16:F19)</f>
        <v>1205</v>
      </c>
      <c r="G20" s="997">
        <f t="shared" si="4"/>
        <v>301.25</v>
      </c>
      <c r="H20" s="996">
        <f>SUBTOTAL(9,H16:H19)</f>
        <v>71</v>
      </c>
      <c r="I20" s="997">
        <f>IF(ISNUMBER(H20/B20),H20/B20," - ")</f>
        <v>17.75</v>
      </c>
    </row>
    <row r="21" spans="1:9" ht="14.25" thickTop="1" thickBot="1">
      <c r="A21" s="940" t="str">
        <f>Datos!A21</f>
        <v>TOTAL JURISDICCIONES</v>
      </c>
      <c r="B21" s="941">
        <f>Datos!AP21</f>
        <v>10</v>
      </c>
      <c r="C21" s="941">
        <f>Datos!AR21</f>
        <v>10</v>
      </c>
      <c r="D21" s="941">
        <f>SUBTOTAL(9,D8:D20)</f>
        <v>782</v>
      </c>
      <c r="E21" s="942">
        <f>IF(ISNUMBER(D21/B21),D21/B21," - ")</f>
        <v>78.2</v>
      </c>
      <c r="F21" s="941">
        <f>SUBTOTAL(9,F8:F20)</f>
        <v>2126</v>
      </c>
      <c r="G21" s="942">
        <f>IF(ISNUMBER(F21/B21),F21/B21," - ")</f>
        <v>212.6</v>
      </c>
      <c r="H21" s="941">
        <f>SUBTOTAL(9,H8:H20)</f>
        <v>1668</v>
      </c>
      <c r="I21" s="942">
        <f>IF(ISNUMBER(H21/B21),H21/B21," - ")</f>
        <v>166.8</v>
      </c>
    </row>
    <row r="24" spans="1:9">
      <c r="A24" s="403" t="str">
        <f>Criterios!A4</f>
        <v>Fecha Informe: 06 jun. 2023</v>
      </c>
    </row>
    <row r="29" spans="1:9">
      <c r="A29" s="426"/>
    </row>
  </sheetData>
  <sheetProtection algorithmName="SHA-512" hashValue="DC1Fg7lAIBNV51WHgSbrNQCpO09Ap723GsK0v9l8M/XRYgsqiq2mkYQ/UkgdUQ4viZ6KF7kpr7EAn9eVZ3DsoQ==" saltValue="1BfK1QT5mhuZdkOdcsMq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GANDIA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597</v>
      </c>
      <c r="C9" s="451">
        <f>IF(ISNUMBER(Datos!Q9),Datos!Q9," - ")</f>
        <v>985</v>
      </c>
      <c r="D9" s="420">
        <f>IF(ISNUMBER(Datos!R9),Datos!R9," - ")</f>
        <v>7967</v>
      </c>
    </row>
    <row r="10" spans="1:4">
      <c r="A10" s="414" t="str">
        <f>Datos!A10</f>
        <v>Jdos. Violencia contra la mujer</v>
      </c>
      <c r="B10" s="450">
        <f>IF(ISNUMBER(Datos!P10),Datos!P10," - ")</f>
        <v>14</v>
      </c>
      <c r="C10" s="451">
        <f>IF(ISNUMBER(Datos!Q10),Datos!Q10," - ")</f>
        <v>9</v>
      </c>
      <c r="D10" s="420">
        <f>IF(ISNUMBER(Datos!R10),Datos!R10," - ")</f>
        <v>66</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0</v>
      </c>
      <c r="C12" s="451">
        <f>IF(ISNUMBER(Datos!Q12),Datos!Q12," - ")</f>
        <v>2</v>
      </c>
      <c r="D12" s="420">
        <f>IF(ISNUMBER(Datos!R12),Datos!R12," - ")</f>
        <v>279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611</v>
      </c>
      <c r="C14" s="1000">
        <f>SUBTOTAL(9,C9:C13)</f>
        <v>996</v>
      </c>
      <c r="D14" s="998">
        <f>SUBTOTAL(9,D9:D13)</f>
        <v>8312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148</v>
      </c>
      <c r="C16" s="451">
        <f>IF(ISNUMBER(Datos!Q16),Datos!Q16," - ")</f>
        <v>106</v>
      </c>
      <c r="D16" s="420">
        <f>IF(ISNUMBER(Datos!R16),Datos!R16," - ")</f>
        <v>358</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18</v>
      </c>
      <c r="C18" s="451">
        <f>IF(ISNUMBER(Datos!Q18),Datos!Q18," - ")</f>
        <v>12</v>
      </c>
      <c r="D18" s="420">
        <f>IF(ISNUMBER(Datos!R18),Datos!R18," - ")</f>
        <v>26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166</v>
      </c>
      <c r="C20" s="1000">
        <f>SUBTOTAL(9,C16:C19)</f>
        <v>118</v>
      </c>
      <c r="D20" s="998">
        <f>SUBTOTAL(9,D16:D19)</f>
        <v>384</v>
      </c>
    </row>
    <row r="21" spans="1:4" ht="16.5" customHeight="1" thickTop="1" thickBot="1">
      <c r="A21" s="940" t="str">
        <f>Datos!A21</f>
        <v>TOTAL JURISDICCIONES</v>
      </c>
      <c r="B21" s="945">
        <f>SUBTOTAL(9,B8:B20)</f>
        <v>777</v>
      </c>
      <c r="C21" s="946">
        <f>SUBTOTAL(9,C8:C20)</f>
        <v>1114</v>
      </c>
      <c r="D21" s="947">
        <f>SUBTOTAL(9,D8:D20)</f>
        <v>8696</v>
      </c>
    </row>
    <row r="22" spans="1:4" ht="7.5" customHeight="1"/>
    <row r="23" spans="1:4" ht="6" customHeight="1"/>
    <row r="24" spans="1:4">
      <c r="A24" s="403" t="str">
        <f>Criterios!A4</f>
        <v>Fecha Informe: 06 jun. 2023</v>
      </c>
    </row>
    <row r="29" spans="1:4">
      <c r="A29" s="426"/>
    </row>
  </sheetData>
  <sheetProtection algorithmName="SHA-512" hashValue="Qt60Jwl0tOBKj00/5XQZiXXFPQqcCuNiErMgZApWCRT0uqTyaOVQcfM8QhQfyNrbvTzv5lpRH9ah8T7QsrdDpg==" saltValue="tMgjut+m6Q5tXSyFfT24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GANDIA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0.11609306834706738</v>
      </c>
      <c r="C9" s="473">
        <f>IF(ISNUMBER(
   IF(J_V="SI",(Datos!J9-Datos!T9)/Datos!T9,(Datos!J9+Datos!Z9-(Datos!T9+Datos!AH9))/(Datos!T9+Datos!AH9))
     ),IF(J_V="SI",(Datos!J9-Datos!T9)/Datos!T9,(Datos!J9+Datos!Z9-(Datos!T9+Datos!AH9))/(Datos!T9+Datos!AH9))," - ")</f>
        <v>0.20807453416149069</v>
      </c>
      <c r="D9" s="473">
        <f>IF(ISNUMBER(
   IF(J_V="SI",(Datos!K9-Datos!U9)/Datos!U9,(Datos!K9+Datos!AA9-(Datos!U9+Datos!AI9))/(Datos!U9+Datos!AI9))
     ),IF(J_V="SI",(Datos!K9-Datos!U9)/Datos!U9,(Datos!K9+Datos!AA9-(Datos!U9+Datos!AI9))/(Datos!U9+Datos!AI9))," - ")</f>
        <v>0.19864864864864865</v>
      </c>
      <c r="E9" s="473">
        <f>IF(ISNUMBER(
   IF(J_V="SI",(Datos!L9-Datos!V9)/Datos!V9,(Datos!L9+Datos!AB9-(Datos!V9+Datos!AJ9))/(Datos!V9+Datos!AJ9))
     ),IF(J_V="SI",(Datos!L9-Datos!V9)/Datos!V9,(Datos!L9+Datos!AB9-(Datos!V9+Datos!AJ9))/(Datos!V9+Datos!AJ9))," - ")</f>
        <v>0.10617343262070622</v>
      </c>
      <c r="F9" s="473">
        <f>IF(ISNUMBER((Datos!M9-Datos!W9)/Datos!W9),(Datos!M9-Datos!W9)/Datos!W9," - ")</f>
        <v>-0.17114914425427874</v>
      </c>
      <c r="G9" s="474">
        <f>IF(ISNUMBER((Datos!N9-Datos!X9)/Datos!X9),(Datos!N9-Datos!X9)/Datos!X9," - ")</f>
        <v>9.420289855072464E-2</v>
      </c>
      <c r="H9" s="472">
        <f>IF(ISNUMBER(((NºAsuntos!G9/NºAsuntos!E9)-Datos!BD9)/Datos!BD9),((NºAsuntos!G9/NºAsuntos!E9)-Datos!BD9)/Datos!BD9," - ")</f>
        <v>-7.8024039463628209E-3</v>
      </c>
      <c r="I9" s="473">
        <f>IF(ISNUMBER(((NºAsuntos!I9/NºAsuntos!G9)-Datos!BE9)/Datos!BE9),((NºAsuntos!I9/NºAsuntos!G9)-Datos!BE9)/Datos!BE9," - ")</f>
        <v>-7.7149560158599098E-2</v>
      </c>
      <c r="J9" s="478">
        <f>IF(ISNUMBER((('Resol  Asuntos'!D9/NºAsuntos!G9)-Datos!BF9)/Datos!BF9),(('Resol  Asuntos'!D9/NºAsuntos!G9)-Datos!BF9)/Datos!BF9," - ")</f>
        <v>-0.65843177622011995</v>
      </c>
      <c r="K9" s="479">
        <f>IF(ISNUMBER((((NºAsuntos!C9+NºAsuntos!E9)/NºAsuntos!G9)-Datos!BG9)/Datos!BG9),(((NºAsuntos!C9+NºAsuntos!E9)/NºAsuntos!G9)-Datos!BG9)/Datos!BG9," - ")</f>
        <v>-4.1763119670051196E-2</v>
      </c>
    </row>
    <row r="10" spans="1:11">
      <c r="A10" s="414" t="str">
        <f>Datos!A10</f>
        <v>Jdos. Violencia contra la mujer</v>
      </c>
      <c r="B10" s="472">
        <f>IF(ISNUMBER((Datos!I10-Datos!S10)/Datos!S10),(Datos!I10-Datos!S10)/Datos!S10," - ")</f>
        <v>0.67500000000000004</v>
      </c>
      <c r="C10" s="473">
        <f>IF(ISNUMBER((Datos!J10-Datos!T10)/Datos!T10),(Datos!J10-Datos!T10)/Datos!T10," - ")</f>
        <v>0.76190476190476186</v>
      </c>
      <c r="D10" s="473">
        <f>IF(ISNUMBER((Datos!K10-Datos!U10)/Datos!U10),(Datos!K10-Datos!U10)/Datos!U10," - ")</f>
        <v>0.2</v>
      </c>
      <c r="E10" s="473">
        <f>IF(ISNUMBER((Datos!L10-Datos!V10)/Datos!V10),(Datos!L10-Datos!V10)/Datos!V10," - ")</f>
        <v>0.95121951219512191</v>
      </c>
      <c r="F10" s="473">
        <f>IF(ISNUMBER((Datos!M10-Datos!W10)/Datos!W10),(Datos!M10-Datos!W10)/Datos!W10," - ")</f>
        <v>-0.14285714285714285</v>
      </c>
      <c r="G10" s="474">
        <f>IF(ISNUMBER((Datos!N10-Datos!X10)/Datos!X10),(Datos!N10-Datos!X10)/Datos!X10," - ")</f>
        <v>0</v>
      </c>
      <c r="H10" s="472">
        <f>IF(ISNUMBER(((NºAsuntos!G10/NºAsuntos!E10)-Datos!BD10)/Datos!BD10),((NºAsuntos!G10/NºAsuntos!E10)-Datos!BD10)/Datos!BD10," - ")</f>
        <v>-0.31891891891891883</v>
      </c>
      <c r="I10" s="473">
        <f>IF(ISNUMBER(((NºAsuntos!I10/NºAsuntos!G10)-Datos!BE10)/Datos!BE10),((NºAsuntos!I10/NºAsuntos!G10)-Datos!BE10)/Datos!BE10," - ")</f>
        <v>0.62601626016260181</v>
      </c>
      <c r="J10" s="478">
        <f>IF(ISNUMBER((('Resol  Asuntos'!D10/NºAsuntos!G10)-Datos!BF10)/Datos!BF10),(('Resol  Asuntos'!D10/NºAsuntos!G10)-Datos!BF10)/Datos!BF10," - ")</f>
        <v>-0.28571428571428564</v>
      </c>
      <c r="K10" s="479">
        <f>IF(ISNUMBER((((NºAsuntos!C10+NºAsuntos!E10)/NºAsuntos!G10)-Datos!BG10)/Datos!BG10),(((NºAsuntos!C10+NºAsuntos!E10)/NºAsuntos!G10)-Datos!BG10)/Datos!BG10," - ")</f>
        <v>0.42076502732240434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f>IF(ISNUMBER(
   IF(J_V="SI",(Datos!L12-Datos!V12)/Datos!V12,(Datos!L12+Datos!AB12-(Datos!V12+Datos!AJ12))/(Datos!V12+Datos!AJ12))
     ),IF(J_V="SI",(Datos!L12-Datos!V12)/Datos!V12,(Datos!L12+Datos!AB12-(Datos!V12+Datos!AJ12))/(Datos!V12+Datos!AJ12))," - ")</f>
        <v>-1</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0.12143028557715382</v>
      </c>
      <c r="C14" s="1002">
        <f>IF(ISNUMBER(
   IF(J_V="SI",(Datos!J14-Datos!T14)/Datos!T14,(Datos!J14+Datos!Z14-(Datos!T14+Datos!AH14))/(Datos!T14+Datos!AH14))
     ),IF(J_V="SI",(Datos!J14-Datos!T14)/Datos!T14,(Datos!J14+Datos!Z14-(Datos!T14+Datos!AH14))/(Datos!T14+Datos!AH14))," - ")</f>
        <v>0.21318681318681318</v>
      </c>
      <c r="D14" s="1002">
        <f>IF(ISNUMBER(
   IF(J_V="SI",(Datos!K14-Datos!U14)/Datos!U14,(Datos!K14+Datos!AA14-(Datos!U14+Datos!AI14))/(Datos!U14+Datos!AI14))
     ),IF(J_V="SI",(Datos!K14-Datos!U14)/Datos!U14,(Datos!K14+Datos!AA14-(Datos!U14+Datos!AI14))/(Datos!U14+Datos!AI14))," - ")</f>
        <v>0.19910714285714284</v>
      </c>
      <c r="E14" s="1002">
        <f>IF(ISNUMBER(
   IF(J_V="SI",(Datos!L14-Datos!V14)/Datos!V14,(Datos!L14+Datos!AB14-(Datos!V14+Datos!AJ14))/(Datos!V14+Datos!AJ14))
     ),IF(J_V="SI",(Datos!L14-Datos!V14)/Datos!V14,(Datos!L14+Datos!AB14-(Datos!V14+Datos!AJ14))/(Datos!V14+Datos!AJ14))," - ")</f>
        <v>0.11414982164090369</v>
      </c>
      <c r="F14" s="1003">
        <f>IF(ISNUMBER((Datos!M14-Datos!W14)/Datos!W14),(Datos!M14-Datos!W14)/Datos!W14," - ")</f>
        <v>-0.17067307692307693</v>
      </c>
      <c r="G14" s="1004">
        <f>IF(ISNUMBER((Datos!N14-Datos!X14)/Datos!X14),(Datos!N14-Datos!X14)/Datos!X14," - ")</f>
        <v>9.7735399284862925E-2</v>
      </c>
      <c r="H14" s="1004">
        <f>IF(ISNUMBER(((NºAsuntos!G14/NºAsuntos!E14)-Datos!BD14)/Datos!BD14),((NºAsuntos!G14/NºAsuntos!E14)-Datos!BD14)/Datos!BD14," - ")</f>
        <v>-1.1605525362318927E-2</v>
      </c>
      <c r="I14" s="1004">
        <f>IF(ISNUMBER(((NºAsuntos!I14/NºAsuntos!G14)-Datos!BE14)/Datos!BE14),((NºAsuntos!I14/NºAsuntos!G14)-Datos!BE14)/Datos!BE14," - ")</f>
        <v>-7.0850483813989423E-2</v>
      </c>
      <c r="J14" s="1004">
        <f>IF(ISNUMBER((('Resol  Asuntos'!D14/NºAsuntos!G14)-Datos!BF14)/Datos!BF14),(('Resol  Asuntos'!D14/NºAsuntos!G14)-Datos!BF14)/Datos!BF14," - ")</f>
        <v>-0.65543224793896948</v>
      </c>
      <c r="K14" s="1004">
        <f>IF(ISNUMBER((((NºAsuntos!C14+NºAsuntos!E14)/NºAsuntos!G14)-Datos!BG14)/Datos!BG14),(((NºAsuntos!C14+NºAsuntos!E14)/NºAsuntos!G14)-Datos!BG14)/Datos!BG14," - ")</f>
        <v>-3.7755533481298072E-2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-1.6323633782824698E-2</v>
      </c>
      <c r="C16" s="473">
        <f>IF(ISNUMBER(
   IF(D_I="SI",(Datos!J16-Datos!T16)/Datos!T16,(Datos!J16+Datos!AD16-(Datos!T16+Datos!AL16))/(Datos!T16+Datos!AL16))
     ),IF(D_I="SI",(Datos!J16-Datos!T16)/Datos!T16,(Datos!J16+Datos!AD16-(Datos!T16+Datos!AL16))/(Datos!T16+Datos!AL16))," - ")</f>
        <v>1.996007984031936E-3</v>
      </c>
      <c r="D16" s="473">
        <f>IF(ISNUMBER(
   IF(D_I="SI",(Datos!K16-Datos!U16)/Datos!U16,(Datos!K16+Datos!AE16-(Datos!U16+Datos!AM16))/(Datos!U16+Datos!AM16))
     ),IF(D_I="SI",(Datos!K16-Datos!U16)/Datos!U16,(Datos!K16+Datos!AE16-(Datos!U16+Datos!AM16))/(Datos!U16+Datos!AM16))," - ")</f>
        <v>-0.12073490813648294</v>
      </c>
      <c r="E16" s="473">
        <f>IF(ISNUMBER(
   IF(D_I="SI",(Datos!L16-Datos!V16)/Datos!V16,(Datos!L16+Datos!AF16-(Datos!V16+Datos!AN16))/(Datos!V16+Datos!AN16))
     ),IF(D_I="SI",(Datos!L16-Datos!V16)/Datos!V16,(Datos!L16+Datos!AF16-(Datos!V16+Datos!AN16))/(Datos!V16+Datos!AN16))," - ")</f>
        <v>0.23083264633140974</v>
      </c>
      <c r="F16" s="473">
        <f>IF(ISNUMBER((Datos!M16-Datos!W16)/Datos!W16),(Datos!M16-Datos!W16)/Datos!W16," - ")</f>
        <v>-4.7979797979797977E-2</v>
      </c>
      <c r="G16" s="474">
        <f>IF(ISNUMBER((Datos!N16-Datos!X16)/Datos!X16),(Datos!N16-Datos!X16)/Datos!X16," - ")</f>
        <v>-0.14963205233033525</v>
      </c>
      <c r="H16" s="472">
        <f>IF(ISNUMBER(((NºAsuntos!G16/NºAsuntos!E16)-Datos!BD16)/Datos!BD16),((NºAsuntos!G16/NºAsuntos!E16)-Datos!BD16)/Datos!BD16," - ")</f>
        <v>-0.12248643222386051</v>
      </c>
      <c r="I16" s="473">
        <f>IF(ISNUMBER(((NºAsuntos!I16/NºAsuntos!G16)-Datos!BE16)/Datos!BE16),((NºAsuntos!I16/NºAsuntos!G16)-Datos!BE16)/Datos!BE16," - ")</f>
        <v>0.39984250224557344</v>
      </c>
      <c r="J16" s="478">
        <f>IF(ISNUMBER((('Resol  Asuntos'!D16/NºAsuntos!G16)-Datos!BF16)/Datos!BF16),(('Resol  Asuntos'!D16/NºAsuntos!G16)-Datos!BF16)/Datos!BF16," - ")</f>
        <v>8.2745364088647758E-2</v>
      </c>
      <c r="K16" s="479">
        <f>IF(ISNUMBER((((NºAsuntos!C16+NºAsuntos!E16)/NºAsuntos!G16)-Datos!BG16)/Datos!BG16),(((NºAsuntos!C16+NºAsuntos!E16)/NºAsuntos!G16)-Datos!BG16)/Datos!BG16," - ")</f>
        <v>0.1309820659375259</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-0.10679611650485436</v>
      </c>
      <c r="C18" s="473">
        <f>IF(ISNUMBER(
   IF(D_I="SI",(Datos!J18-Datos!T18)/Datos!T18,(Datos!J18+Datos!AD18-(Datos!T18+Datos!AL18))/(Datos!T18+Datos!AL18))
     ),IF(D_I="SI",(Datos!J18-Datos!T18)/Datos!T18,(Datos!J18+Datos!AD18-(Datos!T18+Datos!AL18))/(Datos!T18+Datos!AL18))," - ")</f>
        <v>0.16243654822335024</v>
      </c>
      <c r="D18" s="473">
        <f>IF(ISNUMBER(
   IF(D_I="SI",(Datos!K18-Datos!U18)/Datos!U18,(Datos!K18+Datos!AE18-(Datos!U18+Datos!AM18))/(Datos!U18+Datos!AM18))
     ),IF(D_I="SI",(Datos!K18-Datos!U18)/Datos!U18,(Datos!K18+Datos!AE18-(Datos!U18+Datos!AM18))/(Datos!U18+Datos!AM18))," - ")</f>
        <v>8.8235294117647065E-2</v>
      </c>
      <c r="E18" s="473">
        <f>IF(ISNUMBER(
   IF(D_I="SI",(Datos!L18-Datos!V18)/Datos!V18,(Datos!L18+Datos!AF18-(Datos!V18+Datos!AN18))/(Datos!V18+Datos!AN18))
     ),IF(D_I="SI",(Datos!L18-Datos!V18)/Datos!V18,(Datos!L18+Datos!AF18-(Datos!V18+Datos!AN18))/(Datos!V18+Datos!AN18))," - ")</f>
        <v>4.1666666666666664E-2</v>
      </c>
      <c r="F18" s="473">
        <f>IF(ISNUMBER((Datos!M18-Datos!W18)/Datos!W18),(Datos!M18-Datos!W18)/Datos!W18," - ")</f>
        <v>0.17647058823529413</v>
      </c>
      <c r="G18" s="474">
        <f>IF(ISNUMBER((Datos!N18-Datos!X18)/Datos!X18),(Datos!N18-Datos!X18)/Datos!X18," - ")</f>
        <v>0.12244897959183673</v>
      </c>
      <c r="H18" s="472">
        <f>IF(ISNUMBER(((NºAsuntos!G18/NºAsuntos!E18)-Datos!BD18)/Datos!BD18),((NºAsuntos!G18/NºAsuntos!E18)-Datos!BD18)/Datos!BD18," - ")</f>
        <v>-6.3832519907526281E-2</v>
      </c>
      <c r="I18" s="473">
        <f>IF(ISNUMBER(((NºAsuntos!I18/NºAsuntos!G18)-Datos!BE18)/Datos!BE18),((NºAsuntos!I18/NºAsuntos!G18)-Datos!BE18)/Datos!BE18," - ")</f>
        <v>-4.2792792792792765E-2</v>
      </c>
      <c r="J18" s="478">
        <f>IF(ISNUMBER((('Resol  Asuntos'!D18/NºAsuntos!G18)-Datos!BF18)/Datos!BF18),(('Resol  Asuntos'!D18/NºAsuntos!G18)-Datos!BF18)/Datos!BF18," - ")</f>
        <v>8.1081081081081141E-2</v>
      </c>
      <c r="K18" s="479">
        <f>IF(ISNUMBER((((NºAsuntos!C18+NºAsuntos!E18)/NºAsuntos!G18)-Datos!BG18)/Datos!BG18),(((NºAsuntos!C18+NºAsuntos!E18)/NºAsuntos!G18)-Datos!BG18)/Datos!BG18," - ")</f>
        <v>-1.6756756756756752E-2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-2.2486772486772486E-2</v>
      </c>
      <c r="C20" s="1002">
        <f>IF(ISNUMBER(
   IF(Criterios!B14="SI",(Datos!J20-Datos!T20)/Datos!T20,(Datos!J20+Datos!AD20-(Datos!T20+Datos!AL20))/(Datos!T20+Datos!AL20))
     ),IF(Criterios!B14="SI",(Datos!J20-Datos!T20)/Datos!T20,(Datos!J20+Datos!AD20-(Datos!T20+Datos!AL20))/(Datos!T20+Datos!AL20))," - ")</f>
        <v>1.6356201726487961E-2</v>
      </c>
      <c r="D20" s="1002">
        <f>IF(ISNUMBER(
   IF(Criterios!B14="SI",(Datos!K20-Datos!U20)/Datos!U20,(Datos!K20+Datos!AE20-(Datos!U20+Datos!AM20))/(Datos!U20+Datos!AM20))
     ),IF(Criterios!B14="SI",(Datos!K20-Datos!U20)/Datos!U20,(Datos!K20+Datos!AE20-(Datos!U20+Datos!AM20))/(Datos!U20+Datos!AM20))," - ")</f>
        <v>-0.10361445783132531</v>
      </c>
      <c r="E20" s="1002">
        <f>IF(ISNUMBER(
   IF(Criterios!B14="SI",(Datos!L20-Datos!V20)/Datos!V20,(Datos!L20+Datos!AF20-(Datos!V20+Datos!AN20))/(Datos!V20+Datos!AN20))
     ),IF(Criterios!B14="SI",(Datos!L20-Datos!V20)/Datos!V20,(Datos!L20+Datos!AF20-(Datos!V20+Datos!AN20))/(Datos!V20+Datos!AN20))," - ")</f>
        <v>0.21695951107715813</v>
      </c>
      <c r="F20" s="1003">
        <f>IF(ISNUMBER((Datos!M20-Datos!W20)/Datos!W20),(Datos!M20-Datos!W20)/Datos!W20," - ")</f>
        <v>-2.2371364653243849E-2</v>
      </c>
      <c r="G20" s="1004">
        <f>IF(ISNUMBER((Datos!N20-Datos!X20)/Datos!X20),(Datos!N20-Datos!X20)/Datos!X20," - ")</f>
        <v>-0.12043795620437957</v>
      </c>
      <c r="H20" s="1004">
        <f>IF(ISNUMBER(((NºAsuntos!G20/NºAsuntos!E20)-Datos!BD20)/Datos!BD20),((NºAsuntos!G20/NºAsuntos!E20)-Datos!BD20)/Datos!BD20," - ")</f>
        <v>-0.11803997393238574</v>
      </c>
      <c r="I20" s="1004">
        <f>IF(ISNUMBER(((NºAsuntos!I20/NºAsuntos!G20)-Datos!BE20)/Datos!BE20),((NºAsuntos!I20/NºAsuntos!G20)-Datos!BE20)/Datos!BE20," - ")</f>
        <v>0.35762956208876506</v>
      </c>
      <c r="J20" s="1004">
        <f>IF(ISNUMBER((('Resol  Asuntos'!D20/NºAsuntos!G20)-Datos!BF20)/Datos!BF20),(('Resol  Asuntos'!D20/NºAsuntos!G20)-Datos!BF20)/Datos!BF20," - ")</f>
        <v>9.0634095884150084E-2</v>
      </c>
      <c r="K20" s="1004">
        <f>IF(ISNUMBER((((NºAsuntos!C20+NºAsuntos!E20)/NºAsuntos!G20)-Datos!BG20)/Datos!BG20),(((NºAsuntos!C20+NºAsuntos!E20)/NºAsuntos!G20)-Datos!BG20)/Datos!BG20," - ")</f>
        <v>0.11619230891752026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8.3113224159182958E-2</v>
      </c>
      <c r="C21" s="949">
        <f>IF(ISNUMBER(
   IF(J_V="SI",(Datos!J21-Datos!T21)/Datos!T21,(Datos!J21+Datos!Z21-(Datos!T21+Datos!AH21))/(Datos!T21+Datos!AH21))
     ),IF(J_V="SI",(Datos!J21-Datos!T21)/Datos!T21,(Datos!J21+Datos!Z21-(Datos!T21+Datos!AH21))/(Datos!T21+Datos!AH21))," - ")</f>
        <v>0.11639857015192136</v>
      </c>
      <c r="D21" s="949">
        <f>IF(ISNUMBER(
   IF(J_V="SI",(Datos!K21-Datos!U21)/Datos!U21,(Datos!K21+Datos!AA21-(Datos!U21+Datos!AI21))/(Datos!U21+Datos!AI21))
     ),IF(J_V="SI",(Datos!K21-Datos!U21)/Datos!U21,(Datos!K21+Datos!AA21-(Datos!U21+Datos!AI21))/(Datos!U21+Datos!AI21))," - ")</f>
        <v>3.9746300211416494E-2</v>
      </c>
      <c r="E21" s="949">
        <f>IF(ISNUMBER(
   IF(J_V="SI",(Datos!L21-Datos!V21)/Datos!V21,(Datos!L21+Datos!AB21-(Datos!V21+Datos!AJ21))/(Datos!V21+Datos!AJ21))
     ),IF(J_V="SI",(Datos!L21-Datos!V21)/Datos!V21,(Datos!L21+Datos!AB21-(Datos!V21+Datos!AJ21))/(Datos!V21+Datos!AJ21))," - ")</f>
        <v>0.1385564018861081</v>
      </c>
      <c r="F21" s="950">
        <f>IF(ISNUMBER((Datos!M21-Datos!W21)/Datos!W21),(Datos!M21-Datos!W21)/Datos!W21," - ")</f>
        <v>-9.3858632676709158E-2</v>
      </c>
      <c r="G21" s="951">
        <f>IF(ISNUMBER((Datos!N21-Datos!X21)/Datos!X21),(Datos!N21-Datos!X21)/Datos!X21," - ")</f>
        <v>-3.7573562698053418E-2</v>
      </c>
      <c r="H21" s="952">
        <f>IF(ISNUMBER((Tasas!B21-Datos!BD21)/Datos!BD21),(Tasas!B21-Datos!BD21)/Datos!BD21," - ")</f>
        <v>-6.8660308235681353E-2</v>
      </c>
      <c r="I21" s="953">
        <f>IF(ISNUMBER((Tasas!C21-Datos!BE21)/Datos!BE21),(Tasas!C21-Datos!BE21)/Datos!BE21," - ")</f>
        <v>9.5032895673300324E-2</v>
      </c>
      <c r="J21" s="954">
        <f>IF(ISNUMBER((Tasas!D21-Datos!BF21)/Datos!BF21),(Tasas!D21-Datos!BF21)/Datos!BF21," - ")</f>
        <v>-0.41333342638300896</v>
      </c>
      <c r="K21" s="954">
        <f>IF(ISNUMBER((Tasas!E21-Datos!BG21)/Datos!BG21),(Tasas!E21-Datos!BG21)/Datos!BG21," - ")</f>
        <v>5.5819426782392115E-2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CZLEK+rJ8Lxycw8rRGRKmLuiL1y/lxlxPInXD0ZRscdte6QZrUWCpn+Clln8xxswM/Vx53DrgEHC7rFyoNlgQ==" saltValue="SjzMO3rhCkbenhOiIh6Km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GANDIA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0.97723099522585388</v>
      </c>
      <c r="C9" s="460">
        <f>IF(ISNUMBER(NºAsuntos!I9/NºAsuntos!G9),NºAsuntos!I9/NºAsuntos!G9," - ")</f>
        <v>1.7305524239007892</v>
      </c>
      <c r="D9" s="461">
        <f>IF(ISNUMBER('Resol  Asuntos'!D9/NºAsuntos!G9),'Resol  Asuntos'!D9/NºAsuntos!G9," - ")</f>
        <v>0.1273957158962796</v>
      </c>
      <c r="E9" s="462">
        <f>IF(ISNUMBER((NºAsuntos!C9+NºAsuntos!E9)/NºAsuntos!G9),(NºAsuntos!C9+NºAsuntos!E9)/NºAsuntos!G9," - ")</f>
        <v>2.7538519353626456</v>
      </c>
      <c r="G9" s="480"/>
    </row>
    <row r="10" spans="1:7">
      <c r="A10" s="414" t="str">
        <f>Datos!A10</f>
        <v>Jdos. Violencia contra la mujer</v>
      </c>
      <c r="B10" s="459">
        <f>IF(ISNUMBER(NºAsuntos!G10/NºAsuntos!E10),NºAsuntos!G10/NºAsuntos!E10," - ")</f>
        <v>0.64864864864864868</v>
      </c>
      <c r="C10" s="460">
        <f>IF(ISNUMBER(NºAsuntos!I10/NºAsuntos!G10),NºAsuntos!I10/NºAsuntos!G10," - ")</f>
        <v>3.3333333333333335</v>
      </c>
      <c r="D10" s="461">
        <f>IF(ISNUMBER('Resol  Asuntos'!D10/NºAsuntos!G10),'Resol  Asuntos'!D10/NºAsuntos!G10," - ")</f>
        <v>0.25</v>
      </c>
      <c r="E10" s="462">
        <f>IF(ISNUMBER((NºAsuntos!C10+NºAsuntos!E10)/NºAsuntos!G10),(NºAsuntos!C10+NºAsuntos!E10)/NºAsuntos!G10," - ")</f>
        <v>4.333333333333333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f>IF(ISNUMBER(NºAsuntos!I12/NºAsuntos!G12),NºAsuntos!I12/NºAsuntos!G12," - ")</f>
        <v>0</v>
      </c>
      <c r="D12" s="461">
        <f>IF(ISNUMBER('Resol  Asuntos'!D12/NºAsuntos!G12),'Resol  Asuntos'!D12/NºAsuntos!G12," - ")</f>
        <v>0</v>
      </c>
      <c r="E12" s="462">
        <f>IF(ISNUMBER((NºAsuntos!C12+NºAsuntos!E12)/NºAsuntos!G12),(NºAsuntos!C12+NºAsuntos!E12)/NºAsuntos!G12," - ")</f>
        <v>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0.97318840579710142</v>
      </c>
      <c r="C14" s="1006">
        <f>IF(ISNUMBER(NºAsuntos!I14/NºAsuntos!G14),NºAsuntos!I14/NºAsuntos!G14," - ")</f>
        <v>1.7442293373045421</v>
      </c>
      <c r="D14" s="1007">
        <f>IF(ISNUMBER('Resol  Asuntos'!D14/NºAsuntos!G14),'Resol  Asuntos'!D14/NºAsuntos!G14," - ")</f>
        <v>0.12844378257632166</v>
      </c>
      <c r="E14" s="1008">
        <f>IF(ISNUMBER((NºAsuntos!C14+NºAsuntos!E14)/NºAsuntos!G14),(NºAsuntos!C14+NºAsuntos!E14)/NºAsuntos!G14," - ")</f>
        <v>2.7673119880863739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1.000996015936255</v>
      </c>
      <c r="C16" s="460">
        <f>IF(ISNUMBER(NºAsuntos!I16/NºAsuntos!G16),NºAsuntos!I16/NºAsuntos!G16," - ")</f>
        <v>0.74278606965174132</v>
      </c>
      <c r="D16" s="461">
        <f>IF(ISNUMBER('Resol  Asuntos'!D16/NºAsuntos!G16),'Resol  Asuntos'!D16/NºAsuntos!G16," - ")</f>
        <v>0.18756218905472638</v>
      </c>
      <c r="E16" s="462">
        <f>IF(ISNUMBER((NºAsuntos!C16+NºAsuntos!E16)/NºAsuntos!G16),(NºAsuntos!C16+NºAsuntos!E16)/NºAsuntos!G16," - ")</f>
        <v>1.6885572139303482</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0.96943231441048039</v>
      </c>
      <c r="C18" s="460">
        <f>IF(ISNUMBER(NºAsuntos!I18/NºAsuntos!G18),NºAsuntos!I18/NºAsuntos!G18," - ")</f>
        <v>0.45045045045045046</v>
      </c>
      <c r="D18" s="461">
        <f>IF(ISNUMBER('Resol  Asuntos'!D18/NºAsuntos!G18),'Resol  Asuntos'!D18/NºAsuntos!G18," - ")</f>
        <v>0.27027027027027029</v>
      </c>
      <c r="E18" s="462">
        <f>IF(ISNUMBER((NºAsuntos!C18+NºAsuntos!E18)/NºAsuntos!G18),(NºAsuntos!C18+NºAsuntos!E18)/NºAsuntos!G18," - ")</f>
        <v>1.4459459459459461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0.99776486365668304</v>
      </c>
      <c r="C20" s="1006">
        <f>IF(ISNUMBER(NºAsuntos!I20/NºAsuntos!G20),NºAsuntos!I20/NºAsuntos!G20," - ")</f>
        <v>0.71370967741935487</v>
      </c>
      <c r="D20" s="1009">
        <f>IF(ISNUMBER('Resol  Asuntos'!D20/NºAsuntos!G20),'Resol  Asuntos'!D20/NºAsuntos!G20," - ")</f>
        <v>0.19578853046594982</v>
      </c>
      <c r="E20" s="1008">
        <f>IF(ISNUMBER((NºAsuntos!C20+NºAsuntos!E20)/NºAsuntos!G20),(NºAsuntos!C20+NºAsuntos!E20)/NºAsuntos!G20," - ")</f>
        <v>1.6644265232974911</v>
      </c>
      <c r="G20" s="480"/>
    </row>
    <row r="21" spans="1:7" ht="15.75" customHeight="1" thickTop="1" thickBot="1">
      <c r="A21" s="940" t="str">
        <f>Datos!A21</f>
        <v>TOTAL JURISDICCIONES</v>
      </c>
      <c r="B21" s="955">
        <f>IF(ISNUMBER(NºAsuntos!G21/NºAsuntos!E21),NºAsuntos!G21/NºAsuntos!E21," - ")</f>
        <v>0.98419051430858517</v>
      </c>
      <c r="C21" s="956">
        <f>IF(ISNUMBER(NºAsuntos!I21/NºAsuntos!G21),NºAsuntos!I21/NºAsuntos!G21," - ")</f>
        <v>1.2765351769011792</v>
      </c>
      <c r="D21" s="957">
        <f>IF(ISNUMBER('Resol  Asuntos'!D21/NºAsuntos!G21),'Resol  Asuntos'!D21/NºAsuntos!G21," - ")</f>
        <v>0.15900772671817812</v>
      </c>
      <c r="E21" s="958">
        <f>IF(ISNUMBER((NºAsuntos!C21+NºAsuntos!E21)/NºAsuntos!G21),(NºAsuntos!C21+NºAsuntos!E21)/NºAsuntos!G21," - ")</f>
        <v>2.2667751118340789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7ZdwlHOKBdCSgDZ5QFihM+JP29lV7Y0xmHQnHUV4mSSn0HNk22J6ec9A5rCT+SsCDJ+nA4+0Hc3YLpbJB9TTzg==" saltValue="fP5ZTQGC5mDZIEZwjpoTM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GANDIA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6</v>
      </c>
      <c r="B9" s="182" t="s">
        <v>273</v>
      </c>
      <c r="C9" s="165" t="str">
        <f>Datos!A9</f>
        <v xml:space="preserve">Jdos. 1ª Instancia   </v>
      </c>
      <c r="D9" s="165"/>
      <c r="E9" s="1205">
        <f>IF(ISNUMBER(Datos!AQ9),Datos!AQ9," - ")</f>
        <v>6</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597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985</v>
      </c>
      <c r="Y9" s="344">
        <f>SUM(W9:X9)</f>
        <v>985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7967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339</v>
      </c>
      <c r="AJ9" s="234" t="str">
        <f>IF(ISNUMBER(Datos!BW9),Datos!BW9," - ")</f>
        <v xml:space="preserve"> - </v>
      </c>
      <c r="AK9" s="233" t="str">
        <f>IF(ISNUMBER(Datos!BX9),Datos!BX9," - ")</f>
        <v xml:space="preserve"> - </v>
      </c>
      <c r="AL9" s="248">
        <f>IF(ISNUMBER(NºAsuntos!G9/NºAsuntos!E9),NºAsuntos!G9/NºAsuntos!E9," - ")</f>
        <v>0.97723099522585388</v>
      </c>
      <c r="AM9" s="265">
        <f>IF(ISNUMBER(((NºAsuntos!I9/NºAsuntos!G9)*11)/factor_trimestre),((NºAsuntos!I9/NºAsuntos!G9)*11)/factor_trimestre," - ")</f>
        <v>5.1916572717023675</v>
      </c>
      <c r="AN9" s="249">
        <f>IF(ISNUMBER('Resol  Asuntos'!D9/NºAsuntos!G9),'Resol  Asuntos'!D9/NºAsuntos!G9," - ")</f>
        <v>0.1273957158962796</v>
      </c>
      <c r="AO9" s="250">
        <f>IF(ISNUMBER((NºAsuntos!C9+NºAsuntos!E9)/NºAsuntos!G9),(NºAsuntos!C9+NºAsuntos!E9)/NºAsuntos!G9," - ")</f>
        <v>2.7538519353626456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67</v>
      </c>
      <c r="G10" s="343">
        <f>IF(ISNUMBER(Datos!I10),Datos!I10," - ")</f>
        <v>67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24</v>
      </c>
      <c r="X10" s="231">
        <f>IF(ISNUMBER(Datos!Q10),Datos!Q10," - ")</f>
        <v>9</v>
      </c>
      <c r="Y10" s="344">
        <f t="shared" ref="Y10:Y13" si="0">SUM(W10:X10)</f>
        <v>33</v>
      </c>
      <c r="Z10" s="345" t="str">
        <f>IF(ISNUMBER(Datos!CC10),Datos!CC10," - ")</f>
        <v xml:space="preserve"> - </v>
      </c>
      <c r="AA10" s="342">
        <f>IF(ISNUMBER(Datos!L10),Datos!L10,"-")</f>
        <v>80</v>
      </c>
      <c r="AB10" s="344">
        <f>IF(ISNUMBER(Datos!R10),Datos!R10," - ")</f>
        <v>66</v>
      </c>
      <c r="AC10" s="344">
        <f t="shared" ref="AC10:AC13" si="1">IF(ISNUMBER(AA10+AB10),AA10+AB10," - ")</f>
        <v>146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0.64864864864864868</v>
      </c>
      <c r="AM10" s="265">
        <f>IF(ISNUMBER(((NºAsuntos!I10/NºAsuntos!G10)*11)/factor_trimestre),((NºAsuntos!I10/NºAsuntos!G10)*11)/factor_trimestre," - ")</f>
        <v>10.000000000000002</v>
      </c>
      <c r="AN10" s="249">
        <f>IF(ISNUMBER('Resol  Asuntos'!D10/NºAsuntos!G10),'Resol  Asuntos'!D10/NºAsuntos!G10," - ")</f>
        <v>0.25</v>
      </c>
      <c r="AO10" s="250">
        <f>IF(ISNUMBER((NºAsuntos!C10+NºAsuntos!E10)/NºAsuntos!G10),(NºAsuntos!C10+NºAsuntos!E10)/NºAsuntos!G10," - ")</f>
        <v>4.333333333333333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v>
      </c>
      <c r="Y12" s="344">
        <f t="shared" si="0"/>
        <v>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279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0</v>
      </c>
      <c r="AJ12" s="234" t="str">
        <f>IF(ISNUMBER(Datos!BW12),Datos!BW12," - ")</f>
        <v xml:space="preserve"> - </v>
      </c>
      <c r="AK12" s="233" t="str">
        <f>IF(ISNUMBER(Datos!BX12),Datos!BX12," - ")</f>
        <v xml:space="preserve"> - </v>
      </c>
      <c r="AL12" s="248" t="str">
        <f>IF(ISNUMBER(NºAsuntos!G12/NºAsuntos!E12),NºAsuntos!G12/NºAsuntos!E12," - ")</f>
        <v xml:space="preserve"> - </v>
      </c>
      <c r="AM12" s="265">
        <f>IF(ISNUMBER(((NºAsuntos!I12/NºAsuntos!G12)*11)/factor_trimestre),((NºAsuntos!I12/NºAsuntos!G12)*11)/factor_trimestre," - ")</f>
        <v>0</v>
      </c>
      <c r="AN12" s="249">
        <f>IF(ISNUMBER('Resol  Asuntos'!D12/NºAsuntos!G12),'Resol  Asuntos'!D12/NºAsuntos!G12," - ")</f>
        <v>0</v>
      </c>
      <c r="AO12" s="250">
        <f>IF(ISNUMBER((NºAsuntos!C12+NºAsuntos!E12)/NºAsuntos!G12),(NºAsuntos!C12+NºAsuntos!E12)/NºAsuntos!G12," - ")</f>
        <v>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67</v>
      </c>
      <c r="G14" s="1013">
        <f t="shared" si="5"/>
        <v>67</v>
      </c>
      <c r="H14" s="1012">
        <f t="shared" si="5"/>
        <v>0</v>
      </c>
      <c r="I14" s="1014">
        <f t="shared" si="5"/>
        <v>0</v>
      </c>
      <c r="J14" s="1014">
        <f t="shared" si="5"/>
        <v>0</v>
      </c>
      <c r="K14" s="1014">
        <f t="shared" si="5"/>
        <v>0</v>
      </c>
      <c r="L14" s="1014">
        <f t="shared" si="5"/>
        <v>611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24</v>
      </c>
      <c r="X14" s="1014">
        <f t="shared" si="6"/>
        <v>996</v>
      </c>
      <c r="Y14" s="1015">
        <f t="shared" si="6"/>
        <v>1020</v>
      </c>
      <c r="Z14" s="1015">
        <f t="shared" si="6"/>
        <v>0</v>
      </c>
      <c r="AA14" s="1015">
        <f t="shared" si="6"/>
        <v>80</v>
      </c>
      <c r="AB14" s="1015">
        <f t="shared" si="6"/>
        <v>8312</v>
      </c>
      <c r="AC14" s="1015">
        <f t="shared" si="6"/>
        <v>146</v>
      </c>
      <c r="AD14" s="1015">
        <f t="shared" si="6"/>
        <v>0</v>
      </c>
      <c r="AE14" s="1019">
        <f t="shared" si="6"/>
        <v>0</v>
      </c>
      <c r="AF14" s="1012">
        <f t="shared" si="6"/>
        <v>0</v>
      </c>
      <c r="AG14" s="1020">
        <f t="shared" si="6"/>
        <v>0</v>
      </c>
      <c r="AH14" s="1017">
        <f t="shared" si="6"/>
        <v>0</v>
      </c>
      <c r="AI14" s="1012">
        <f t="shared" si="6"/>
        <v>345</v>
      </c>
      <c r="AJ14" s="1014">
        <f t="shared" si="6"/>
        <v>0</v>
      </c>
      <c r="AK14" s="1017">
        <f>SUBTOTAL(9,AK9:AK13)</f>
        <v>0</v>
      </c>
      <c r="AL14" s="1021">
        <f>IF(ISNUMBER(NºAsuntos!G14/NºAsuntos!E14),NºAsuntos!G14/NºAsuntos!E14," - ")</f>
        <v>0.97318840579710142</v>
      </c>
      <c r="AM14" s="1021">
        <f>IF(ISNUMBER(((NºAsuntos!I14/NºAsuntos!G14)*11)/factor_trimestre),((NºAsuntos!I14/NºAsuntos!G14)*11)/factor_trimestre," - ")</f>
        <v>5.2326880119136261</v>
      </c>
      <c r="AN14" s="1022">
        <f>IF(ISNUMBER('Resol  Asuntos'!D14/NºAsuntos!G14),'Resol  Asuntos'!D14/NºAsuntos!G14," - ")</f>
        <v>0.12844378257632166</v>
      </c>
      <c r="AO14" s="1023">
        <f>IF(ISNUMBER((NºAsuntos!C14+NºAsuntos!E14)/NºAsuntos!G14),(NºAsuntos!C14+NºAsuntos!E14)/NºAsuntos!G14," - ")</f>
        <v>2.7673119880863739</v>
      </c>
      <c r="AP14" s="1024" t="str">
        <f t="shared" si="2"/>
        <v xml:space="preserve"> - </v>
      </c>
      <c r="AQ14" s="1024">
        <f>IF(ISNUMBER((H14-W14+K14)/(F14)),(H14-W14+K14)/(F14)," - ")</f>
        <v>-0.35820895522388058</v>
      </c>
      <c r="AR14" s="1025">
        <f>IF(ISNUMBER((Datos!P14-Datos!Q14)/(Datos!R14-Datos!P14+Datos!Q14)),(Datos!P14-Datos!Q14)/(Datos!R14-Datos!P14+Datos!Q14)," - ")</f>
        <v>-4.4268138438542028E-2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3</v>
      </c>
      <c r="B16" s="280" t="s">
        <v>437</v>
      </c>
      <c r="C16" s="165" t="str">
        <f>Datos!A16</f>
        <v xml:space="preserve">Jdos. Instrucción                               </v>
      </c>
      <c r="D16" s="165"/>
      <c r="E16" s="1205">
        <f>IF(ISNUMBER(Datos!AQ16),Datos!AQ16," - ")</f>
        <v>3</v>
      </c>
      <c r="F16" s="230">
        <f>IF(ISNUMBER(AA16+W16-Datos!J16-K16),AA16+W16-Datos!J16-K16," - ")</f>
        <v>1495</v>
      </c>
      <c r="G16" s="343">
        <f>IF(ISNUMBER(IF(D_I="SI",Datos!I16,Datos!I16+Datos!AC16)),IF(D_I="SI",Datos!I16,Datos!I16+Datos!AC16)," - ")</f>
        <v>1386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148</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2010</v>
      </c>
      <c r="X16" s="231">
        <f>IF(ISNUMBER(Datos!Q16),Datos!Q16," - ")</f>
        <v>106</v>
      </c>
      <c r="Y16" s="344">
        <f>SUM(W16)</f>
        <v>2010</v>
      </c>
      <c r="Z16" s="345" t="str">
        <f>IF(ISNUMBER(Datos!CC16),Datos!CC16," - ")</f>
        <v xml:space="preserve"> - </v>
      </c>
      <c r="AA16" s="342">
        <f>IF(ISNUMBER(IF(D_I="SI",Datos!L16,Datos!L16+Datos!AF16)),IF(D_I="SI",Datos!L16,Datos!L16+Datos!AF16)," - ")</f>
        <v>1493</v>
      </c>
      <c r="AB16" s="344">
        <f>IF(ISNUMBER(Datos!R16),Datos!R16," - ")</f>
        <v>358</v>
      </c>
      <c r="AC16" s="344">
        <f t="shared" ref="AC16:AC19" si="8">IF(ISNUMBER(AA16+AB16),AA16+AB16," - ")</f>
        <v>1851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377</v>
      </c>
      <c r="AJ16" s="236" t="str">
        <f>IF(ISNUMBER(Datos!BW16),Datos!BW16," - ")</f>
        <v xml:space="preserve"> - </v>
      </c>
      <c r="AK16" s="237" t="str">
        <f>IF(ISNUMBER(Datos!BX16),Datos!BX16," - ")</f>
        <v xml:space="preserve"> - </v>
      </c>
      <c r="AL16" s="248">
        <f>IF(ISNUMBER(NºAsuntos!G16/NºAsuntos!E16),NºAsuntos!G16/NºAsuntos!E16," - ")</f>
        <v>1.000996015936255</v>
      </c>
      <c r="AM16" s="265">
        <f>IF(ISNUMBER(((NºAsuntos!I16/NºAsuntos!G16)*11)/factor_trimestre),((NºAsuntos!I16/NºAsuntos!G16)*11)/factor_trimestre," - ")</f>
        <v>2.2283582089552239</v>
      </c>
      <c r="AN16" s="249">
        <f>IF(ISNUMBER('Resol  Asuntos'!D16/NºAsuntos!G16),'Resol  Asuntos'!D16/NºAsuntos!G16," - ")</f>
        <v>0.18756218905472638</v>
      </c>
      <c r="AO16" s="250">
        <f>IF(ISNUMBER((NºAsuntos!C16+NºAsuntos!E16)/NºAsuntos!G16),(NºAsuntos!C16+NºAsuntos!E16)/NºAsuntos!G16," - ")</f>
        <v>1.6885572139303482</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92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18</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222</v>
      </c>
      <c r="X18" s="231">
        <f>IF(ISNUMBER(Datos!Q18),Datos!Q18," - ")</f>
        <v>12</v>
      </c>
      <c r="Y18" s="344">
        <f t="shared" si="9"/>
        <v>234</v>
      </c>
      <c r="Z18" s="345" t="str">
        <f>IF(ISNUMBER(Datos!CC18),Datos!CC18," - ")</f>
        <v xml:space="preserve"> - </v>
      </c>
      <c r="AA18" s="342">
        <f>IF(ISNUMBER(Datos!L18),Datos!L18,"-")</f>
        <v>100</v>
      </c>
      <c r="AB18" s="344">
        <f>IF(ISNUMBER(Datos!R18),Datos!R18," - ")</f>
        <v>26</v>
      </c>
      <c r="AC18" s="344">
        <f t="shared" si="8"/>
        <v>126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60</v>
      </c>
      <c r="AJ18" s="236" t="str">
        <f>IF(ISNUMBER(Datos!BW18),Datos!BW18," - ")</f>
        <v xml:space="preserve"> - </v>
      </c>
      <c r="AK18" s="237" t="str">
        <f>IF(ISNUMBER(Datos!BX18),Datos!BX18," - ")</f>
        <v xml:space="preserve"> - </v>
      </c>
      <c r="AL18" s="248">
        <f>IF(ISNUMBER(NºAsuntos!G18/NºAsuntos!E18),NºAsuntos!G18/NºAsuntos!E18," - ")</f>
        <v>0.96943231441048039</v>
      </c>
      <c r="AM18" s="265">
        <f>IF(ISNUMBER(((NºAsuntos!I18/NºAsuntos!G18)*11)/factor_trimestre),((NºAsuntos!I18/NºAsuntos!G18)*11)/factor_trimestre," - ")</f>
        <v>1.3513513513513513</v>
      </c>
      <c r="AN18" s="249">
        <f>IF(ISNUMBER('Resol  Asuntos'!D18/NºAsuntos!G18),'Resol  Asuntos'!D18/NºAsuntos!G18," - ")</f>
        <v>0.27027027027027029</v>
      </c>
      <c r="AO18" s="250">
        <f>IF(ISNUMBER((NºAsuntos!C18+NºAsuntos!E18)/NºAsuntos!G18),(NºAsuntos!C18+NºAsuntos!E18)/NºAsuntos!G18," - ")</f>
        <v>1.4459459459459461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1495</v>
      </c>
      <c r="G20" s="1013">
        <f>SUBTOTAL(9,G16:G19)</f>
        <v>1478</v>
      </c>
      <c r="H20" s="1012">
        <f t="shared" ref="H20:O20" si="12">SUBTOTAL(9,H15:H19)</f>
        <v>0</v>
      </c>
      <c r="I20" s="1014">
        <f t="shared" si="12"/>
        <v>0</v>
      </c>
      <c r="J20" s="1014">
        <f t="shared" si="12"/>
        <v>0</v>
      </c>
      <c r="K20" s="1014">
        <f t="shared" si="12"/>
        <v>0</v>
      </c>
      <c r="L20" s="1014">
        <f t="shared" si="12"/>
        <v>166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2232</v>
      </c>
      <c r="X20" s="1014">
        <f t="shared" si="13"/>
        <v>118</v>
      </c>
      <c r="Y20" s="1015">
        <f t="shared" si="13"/>
        <v>2244</v>
      </c>
      <c r="Z20" s="1015">
        <f t="shared" si="13"/>
        <v>0</v>
      </c>
      <c r="AA20" s="1015">
        <f t="shared" si="13"/>
        <v>1593</v>
      </c>
      <c r="AB20" s="1015">
        <f t="shared" si="13"/>
        <v>384</v>
      </c>
      <c r="AC20" s="1015">
        <f t="shared" si="13"/>
        <v>1977</v>
      </c>
      <c r="AD20" s="1015">
        <f t="shared" si="13"/>
        <v>0</v>
      </c>
      <c r="AE20" s="1019">
        <f t="shared" si="13"/>
        <v>0</v>
      </c>
      <c r="AF20" s="1012">
        <f t="shared" si="13"/>
        <v>0</v>
      </c>
      <c r="AG20" s="1020">
        <f t="shared" si="13"/>
        <v>0</v>
      </c>
      <c r="AH20" s="1017">
        <f t="shared" si="13"/>
        <v>0</v>
      </c>
      <c r="AI20" s="1012">
        <f t="shared" si="13"/>
        <v>437</v>
      </c>
      <c r="AJ20" s="1014">
        <f t="shared" si="13"/>
        <v>0</v>
      </c>
      <c r="AK20" s="1017">
        <f t="shared" si="13"/>
        <v>0</v>
      </c>
      <c r="AL20" s="1021">
        <f>IF(ISNUMBER(NºAsuntos!G20/NºAsuntos!E20),NºAsuntos!G20/NºAsuntos!E20," - ")</f>
        <v>0.99776486365668304</v>
      </c>
      <c r="AM20" s="1021">
        <f>IF(ISNUMBER(((NºAsuntos!I20/NºAsuntos!G20)*11)/factor_trimestre),((NºAsuntos!I20/NºAsuntos!G20)*11)/factor_trimestre," - ")</f>
        <v>2.1411290322580649</v>
      </c>
      <c r="AN20" s="1022">
        <f>IF(ISNUMBER('Resol  Asuntos'!D20/NºAsuntos!G20),'Resol  Asuntos'!D20/NºAsuntos!G20," - ")</f>
        <v>0.19578853046594982</v>
      </c>
      <c r="AO20" s="1023">
        <f>IF(ISNUMBER((NºAsuntos!C20+NºAsuntos!E20)/NºAsuntos!G20),(NºAsuntos!C20+NºAsuntos!E20)/NºAsuntos!G20," - ")</f>
        <v>1.6644265232974911</v>
      </c>
      <c r="AP20" s="1024" t="str">
        <f t="shared" si="2"/>
        <v xml:space="preserve"> - </v>
      </c>
      <c r="AQ20" s="1024">
        <f>IF(ISNUMBER((H20-W20+K20)/(F20)),(H20-W20+K20)/(F20)," - ")</f>
        <v>-1.4929765886287625</v>
      </c>
      <c r="AR20" s="1025">
        <f>IF(ISNUMBER((Datos!P20-Datos!Q20)/(Datos!R20-Datos!P20+Datos!Q20)),(Datos!P20-Datos!Q20)/(Datos!R20-Datos!P20+Datos!Q20)," - ")</f>
        <v>0.14285714285714285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11</v>
      </c>
      <c r="F21" s="967">
        <f t="shared" si="15"/>
        <v>1562</v>
      </c>
      <c r="G21" s="968">
        <f t="shared" si="15"/>
        <v>1545</v>
      </c>
      <c r="H21" s="967">
        <f t="shared" si="15"/>
        <v>0</v>
      </c>
      <c r="I21" s="969">
        <f t="shared" si="15"/>
        <v>0</v>
      </c>
      <c r="J21" s="969">
        <f t="shared" si="15"/>
        <v>0</v>
      </c>
      <c r="K21" s="1028">
        <f t="shared" si="15"/>
        <v>0</v>
      </c>
      <c r="L21" s="969">
        <f t="shared" si="15"/>
        <v>777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2256</v>
      </c>
      <c r="X21" s="968">
        <f t="shared" si="16"/>
        <v>1114</v>
      </c>
      <c r="Y21" s="975">
        <f t="shared" si="16"/>
        <v>3264</v>
      </c>
      <c r="Z21" s="975">
        <f t="shared" si="16"/>
        <v>0</v>
      </c>
      <c r="AA21" s="975">
        <f t="shared" si="16"/>
        <v>1673</v>
      </c>
      <c r="AB21" s="975">
        <f t="shared" si="16"/>
        <v>8696</v>
      </c>
      <c r="AC21" s="975">
        <f t="shared" si="16"/>
        <v>2123</v>
      </c>
      <c r="AD21" s="975">
        <f t="shared" si="16"/>
        <v>0</v>
      </c>
      <c r="AE21" s="977">
        <f t="shared" si="16"/>
        <v>0</v>
      </c>
      <c r="AF21" s="978">
        <f t="shared" si="16"/>
        <v>0</v>
      </c>
      <c r="AG21" s="979">
        <f t="shared" si="16"/>
        <v>0</v>
      </c>
      <c r="AH21" s="977">
        <f t="shared" si="16"/>
        <v>0</v>
      </c>
      <c r="AI21" s="967">
        <f t="shared" si="16"/>
        <v>782</v>
      </c>
      <c r="AJ21" s="967">
        <f t="shared" si="16"/>
        <v>0</v>
      </c>
      <c r="AK21" s="977">
        <f t="shared" si="16"/>
        <v>0</v>
      </c>
      <c r="AL21" s="1031">
        <f>IF(ISNUMBER(NºAsuntos!G21/NºAsuntos!E21),NºAsuntos!G21/NºAsuntos!E21," - ")</f>
        <v>0.98419051430858517</v>
      </c>
      <c r="AM21" s="1032">
        <f>IF(ISNUMBER(((NºAsuntos!I21/NºAsuntos!G21)*11)/factor_trimestre),((NºAsuntos!I21/NºAsuntos!G21)*11)/factor_trimestre," - ")</f>
        <v>3.8296055307035375</v>
      </c>
      <c r="AN21" s="1032">
        <f>IF(ISNUMBER('Resol  Asuntos'!D21/NºAsuntos!G21),'Resol  Asuntos'!D21/NºAsuntos!G21," - ")</f>
        <v>0.15900772671817812</v>
      </c>
      <c r="AO21" s="1033">
        <f>IF(ISNUMBER((NºAsuntos!C21+NºAsuntos!E21)/NºAsuntos!G21),(NºAsuntos!C21+NºAsuntos!E21)/NºAsuntos!G21," - ")</f>
        <v>2.2667751118340789</v>
      </c>
      <c r="AP21" s="1034" t="str">
        <f t="shared" si="2"/>
        <v xml:space="preserve"> - </v>
      </c>
      <c r="AQ21" s="1035">
        <f>IF(OR(ISNUMBER(FIND("01",Criterios!A8,1)),ISNUMBER(FIND("02",Criterios!A8,1)),ISNUMBER(FIND("03",Criterios!A8,1)),ISNUMBER(FIND("04",Criterios!A8,1))),(I21-W21+K21)/(F21-K21),(H21-W21+K21)/(F21-K21))</f>
        <v>-1.4443021766965429</v>
      </c>
      <c r="AR21" s="1036">
        <f>IF(ISNUMBER((Datos!P21-Datos!Q21)/(Datos!R21-Datos!P21+Datos!Q21)),(Datos!P21-Datos!Q21)/(Datos!R21-Datos!P21+Datos!Q21)," - ")</f>
        <v>-3.7307649728772277E-2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618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2.6076809620810595</v>
      </c>
      <c r="F23" s="257">
        <f>IF(ISNUMBER(STDEV(F8:F20)),STDEV(F8:F20),"-")</f>
        <v>824.45618440278554</v>
      </c>
      <c r="G23" s="258">
        <f>IF(ISNUMBER(STDEV(G8:G20)),STDEV(G8:G20),"-")</f>
        <v>743.85852149451102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1118.1157364065673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192.02331207682147</v>
      </c>
      <c r="AJ23" s="257">
        <f t="shared" si="20"/>
        <v>0</v>
      </c>
      <c r="AK23" s="259">
        <f t="shared" si="20"/>
        <v>0</v>
      </c>
      <c r="AL23" s="254">
        <f t="shared" si="20"/>
        <v>0.13741539991725663</v>
      </c>
      <c r="AM23" s="255">
        <f t="shared" si="20"/>
        <v>3.3679257912435481</v>
      </c>
      <c r="AN23" s="255">
        <f t="shared" si="20"/>
        <v>9.1046153791988063E-2</v>
      </c>
      <c r="AO23" s="256">
        <f t="shared" si="20"/>
        <v>1.1348671822061618</v>
      </c>
      <c r="AP23" s="296" t="str">
        <f t="shared" si="20"/>
        <v>-</v>
      </c>
      <c r="AQ23" s="297">
        <f t="shared" si="20"/>
        <v>0.80240188865160245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AF7+BhM8oWVazierJycBLzVsVT4bj0g7b0sYXtLWPercAQL07ZBwW8OJw+4rTUoClrGjW5DWkiQAyOJYdnSMQ==" saltValue="mBzEUMzqL8K16vyi0ggc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GANDIA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-0.17114914425427874</v>
      </c>
      <c r="I9" s="360">
        <f>IF(ISNUMBER((Tasas!C9-Datos!BE9)/Datos!BE9),(Tasas!C9-Datos!BE9)/Datos!BE9," - ")</f>
        <v>-7.7149560158599098E-2</v>
      </c>
      <c r="J9" s="359">
        <f>IF(ISNUMBER((Tasas!D9-Datos!BF9)/Datos!BF9),(Tasas!D9-Datos!BF9)/Datos!BF9," - ")</f>
        <v>-0.65843177622011995</v>
      </c>
      <c r="K9" s="361">
        <f>IF(ISNUMBER((Tasas!E9-Datos!BG9)/Datos!BG9),(Tasas!E9-Datos!BG9)/Datos!BG9," - ")</f>
        <v>-4.1763119670051196E-2</v>
      </c>
      <c r="M9" t="e">
        <f>IF(Monitorios="SI",Datos!CE9,0)</f>
        <v>#REF!</v>
      </c>
      <c r="N9" t="e">
        <f>IF(Monitorios="SI",Datos!CF9,0)</f>
        <v>#REF!</v>
      </c>
      <c r="O9" t="e">
        <f>IF(Monitorios="SI",Datos!CG9,0)</f>
        <v>#REF!</v>
      </c>
      <c r="P9" t="e">
        <f>IF(Monitorios="SI",Datos!CH9,0)</f>
        <v>#REF!</v>
      </c>
      <c r="Q9">
        <f>IF(J_V="SI",0,Datos!AG9)</f>
        <v>266</v>
      </c>
      <c r="R9">
        <f>IF(J_V="SI",0,Datos!AH9)</f>
        <v>226</v>
      </c>
      <c r="S9">
        <f>IF(J_V="SI",0,Datos!AI9)</f>
        <v>248</v>
      </c>
      <c r="T9">
        <f>IF(J_V="SI",0,Datos!AJ9)</f>
        <v>239</v>
      </c>
    </row>
    <row r="10" spans="2:20" ht="14.25">
      <c r="B10" s="280" t="s">
        <v>273</v>
      </c>
      <c r="C10" s="7" t="str">
        <f>Datos!A10</f>
        <v>Jdos. Violencia contra la mujer</v>
      </c>
      <c r="D10" s="362">
        <f>IF(ISNUMBER((Datos!I10-Datos!S10)/Datos!S10),(Datos!I10-Datos!S10)/Datos!S10," - ")</f>
        <v>0.67500000000000004</v>
      </c>
      <c r="E10" s="358">
        <f>IF(ISNUMBER((Datos!J10-Datos!T10)/Datos!T10),(Datos!J10-Datos!T10)/Datos!T10," - ")</f>
        <v>0.76190476190476186</v>
      </c>
      <c r="F10" s="358">
        <f>IF(ISNUMBER((Datos!K10-Datos!U10)/Datos!U10),(Datos!K10-Datos!U10)/Datos!U10," - ")</f>
        <v>0.2</v>
      </c>
      <c r="G10" s="359">
        <f>IF(ISNUMBER((Datos!L10-Datos!V10)/Datos!V10),(Datos!L10-Datos!V10)/Datos!V10," - ")</f>
        <v>0.95121951219512191</v>
      </c>
      <c r="H10" s="235">
        <f>IF(ISNUMBER((Datos!M10-Datos!W10)/Datos!W10),(Datos!M10-Datos!W10)/Datos!W10," - ")</f>
        <v>-0.14285714285714285</v>
      </c>
      <c r="I10" s="360">
        <f>IF(ISNUMBER((Tasas!C10-Datos!BE10)/Datos!BE10),(Tasas!C10-Datos!BE10)/Datos!BE10," - ")</f>
        <v>0.62601626016260181</v>
      </c>
      <c r="J10" s="359">
        <f>IF(ISNUMBER((Tasas!D10-Datos!BF10)/Datos!BF10),(Tasas!D10-Datos!BF10)/Datos!BF10," - ")</f>
        <v>-0.28571428571428564</v>
      </c>
      <c r="K10" s="361">
        <f>IF(ISNUMBER((Tasas!E10-Datos!BG10)/Datos!BG10),(Tasas!E10-Datos!BG10)/Datos!BG10," - ")</f>
        <v>0.42076502732240434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-0.17067307692307693</v>
      </c>
      <c r="I14" s="367">
        <f>IF(ISNUMBER((Tasas!C14-Datos!BE14)/Datos!BE14),(Tasas!C14-Datos!BE14)/Datos!BE14," - ")</f>
        <v>-7.0850483813989423E-2</v>
      </c>
      <c r="J14" s="365">
        <f>IF(ISNUMBER((Tasas!D14-Datos!BF14)/Datos!BF14),(Tasas!D14-Datos!BF14)/Datos!BF14," - ")</f>
        <v>-0.65543224793896948</v>
      </c>
      <c r="K14" s="368">
        <f>IF(ISNUMBER((Tasas!E14-Datos!BG14)/Datos!BG14),(Tasas!E14-Datos!BG14)/Datos!BG14," - ")</f>
        <v>-3.7755533481298072E-2</v>
      </c>
      <c r="M14" t="e">
        <f>IF(Monitorios="SI",Datos!CE14,0)</f>
        <v>#REF!</v>
      </c>
      <c r="N14" t="e">
        <f>IF(Monitorios="SI",Datos!CF14,0)</f>
        <v>#REF!</v>
      </c>
      <c r="O14" t="e">
        <f>IF(Monitorios="SI",Datos!CG14,0)</f>
        <v>#REF!</v>
      </c>
      <c r="P14" t="e">
        <f>IF(Monitorios="SI",Datos!CH14,0)</f>
        <v>#REF!</v>
      </c>
      <c r="Q14">
        <f>IF(J_V="SI",0,Datos!AG14)</f>
        <v>266</v>
      </c>
      <c r="R14">
        <f>IF(J_V="SI",0,Datos!AH14)</f>
        <v>226</v>
      </c>
      <c r="S14">
        <f>IF(J_V="SI",0,Datos!AI14)</f>
        <v>248</v>
      </c>
      <c r="T14">
        <f>IF(J_V="SI",0,Datos!AJ14)</f>
        <v>239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-1.6323633782824698E-2</v>
      </c>
      <c r="E16" s="358">
        <f>IF(ISNUMBER(
   IF(D_I="SI",(Datos!J16-Datos!T16)/Datos!T16,(Datos!J16+Datos!AD16-(Datos!T16+Datos!AL16))/(Datos!T16+Datos!AL16))
     ),IF(D_I="SI",(Datos!J16-Datos!T16)/Datos!T16,(Datos!J16+Datos!AD16-(Datos!T16+Datos!AL16))/(Datos!T16+Datos!AL16))," - ")</f>
        <v>1.996007984031936E-3</v>
      </c>
      <c r="F16" s="358">
        <f>IF(ISNUMBER(
   IF(D_I="SI",(Datos!K16-Datos!U16)/Datos!U16,(Datos!K16+Datos!AE16-(Datos!U16+Datos!AM16))/(Datos!U16+Datos!AM16))
     ),IF(D_I="SI",(Datos!K16-Datos!U16)/Datos!U16,(Datos!K16+Datos!AE16-(Datos!U16+Datos!AM16))/(Datos!U16+Datos!AM16))," - ")</f>
        <v>-0.12073490813648294</v>
      </c>
      <c r="G16" s="359">
        <f>IF(ISNUMBER(
   IF(D_I="SI",(Datos!L16-Datos!V16)/Datos!V16,(Datos!L16+Datos!AF16-(Datos!V16+Datos!AN16))/(Datos!V16+Datos!AN16))
     ),IF(D_I="SI",(Datos!L16-Datos!V16)/Datos!V16,(Datos!L16+Datos!AF16-(Datos!V16+Datos!AN16))/(Datos!V16+Datos!AN16))," - ")</f>
        <v>0.23083264633140974</v>
      </c>
      <c r="H16" s="235">
        <f>IF(ISNUMBER((Datos!M16-Datos!W16)/Datos!W16),(Datos!M16-Datos!W16)/Datos!W16," - ")</f>
        <v>-4.7979797979797977E-2</v>
      </c>
      <c r="I16" s="360">
        <f>IF(ISNUMBER((Tasas!C16-Datos!BE16)/Datos!BE16),(Tasas!C16-Datos!BE16)/Datos!BE16," - ")</f>
        <v>0.39984250224557344</v>
      </c>
      <c r="J16" s="359">
        <f>IF(ISNUMBER((Tasas!D16-Datos!BF16)/Datos!BF16),(Tasas!D16-Datos!BF16)/Datos!BF16," - ")</f>
        <v>8.2745364088647758E-2</v>
      </c>
      <c r="K16" s="361">
        <f>IF(ISNUMBER((Tasas!E16-Datos!BG16)/Datos!BG16),(Tasas!E16-Datos!BG16)/Datos!BG16," - ")</f>
        <v>0.1309820659375259</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-0.10679611650485436</v>
      </c>
      <c r="E18" s="358">
        <f>IF(ISNUMBER(
   IF(D_I="SI",(Datos!J18-Datos!T18)/Datos!T18,(Datos!J18+Datos!AD18-(Datos!T18+Datos!AL18))/(Datos!T18+Datos!AL18))
     ),IF(D_I="SI",(Datos!J18-Datos!T18)/Datos!T18,(Datos!J18+Datos!AD18-(Datos!T18+Datos!AL18))/(Datos!T18+Datos!AL18))," - ")</f>
        <v>0.16243654822335024</v>
      </c>
      <c r="F18" s="358">
        <f>IF(ISNUMBER(
   IF(D_I="SI",(Datos!K18-Datos!U18)/Datos!U18,(Datos!K18+Datos!AE18-(Datos!U18+Datos!AM18))/(Datos!U18+Datos!AM18))
     ),IF(D_I="SI",(Datos!K18-Datos!U18)/Datos!U18,(Datos!K18+Datos!AE18-(Datos!U18+Datos!AM18))/(Datos!U18+Datos!AM18))," - ")</f>
        <v>8.8235294117647065E-2</v>
      </c>
      <c r="G18" s="359">
        <f>IF(ISNUMBER(
   IF(D_I="SI",(Datos!L18-Datos!V18)/Datos!V18,(Datos!L18+Datos!AF18-(Datos!V18+Datos!AN18))/(Datos!V18+Datos!AN18))
     ),IF(D_I="SI",(Datos!L18-Datos!V18)/Datos!V18,(Datos!L18+Datos!AF18-(Datos!V18+Datos!AN18))/(Datos!V18+Datos!AN18))," - ")</f>
        <v>4.1666666666666664E-2</v>
      </c>
      <c r="H18" s="235">
        <f>IF(ISNUMBER((Datos!M18-Datos!W18)/Datos!W18),(Datos!M18-Datos!W18)/Datos!W18," - ")</f>
        <v>0.17647058823529413</v>
      </c>
      <c r="I18" s="360">
        <f>IF(ISNUMBER((Tasas!C18-Datos!BE18)/Datos!BE18),(Tasas!C18-Datos!BE18)/Datos!BE18," - ")</f>
        <v>-4.2792792792792765E-2</v>
      </c>
      <c r="J18" s="359">
        <f>IF(ISNUMBER((Tasas!D18-Datos!BF18)/Datos!BF18),(Tasas!D18-Datos!BF18)/Datos!BF18," - ")</f>
        <v>8.1081081081081141E-2</v>
      </c>
      <c r="K18" s="361">
        <f>IF(ISNUMBER((Tasas!E18-Datos!BG18)/Datos!BG18),(Tasas!E18-Datos!BG18)/Datos!BG18," - ")</f>
        <v>-1.6756756756756752E-2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-2.2486772486772486E-2</v>
      </c>
      <c r="E20" s="364">
        <f>IF(ISNUMBER(
   IF(D_I="SI",(Datos!J20-Datos!T20)/Datos!T20,(Datos!J20+Datos!AD20-(Datos!T20+Datos!AL20))/(Datos!T20+Datos!AL20))
     ),IF(D_I="SI",(Datos!J20-Datos!T20)/Datos!T20,(Datos!J20+Datos!AD20-(Datos!T20+Datos!AL20))/(Datos!T20+Datos!AL20))," - ")</f>
        <v>1.6356201726487961E-2</v>
      </c>
      <c r="F20" s="364">
        <f>IF(ISNUMBER(
   IF(D_I="SI",(Datos!K20-Datos!U20)/Datos!U20,(Datos!K20+Datos!AE20-(Datos!U20+Datos!AM20))/(Datos!U20+Datos!AM20))
     ),IF(D_I="SI",(Datos!K20-Datos!U20)/Datos!U20,(Datos!K20+Datos!AE20-(Datos!U20+Datos!AM20))/(Datos!U20+Datos!AM20))," - ")</f>
        <v>-0.10361445783132531</v>
      </c>
      <c r="G20" s="365">
        <f>IF(ISNUMBER(
   IF(D_I="SI",(Datos!L20-Datos!V20)/Datos!V20,(Datos!L20+Datos!AF20-(Datos!V20+Datos!AN20))/(Datos!V20+Datos!AN20))
     ),IF(D_I="SI",(Datos!L20-Datos!V20)/Datos!V20,(Datos!L20+Datos!AF20-(Datos!V20+Datos!AN20))/(Datos!V20+Datos!AN20))," - ")</f>
        <v>0.21695951107715813</v>
      </c>
      <c r="H20" s="366">
        <f>IF(ISNUMBER((Datos!M20-Datos!W20)/Datos!W20),(Datos!M20-Datos!W20)/Datos!W20," - ")</f>
        <v>-2.2371364653243849E-2</v>
      </c>
      <c r="I20" s="367">
        <f>IF(ISNUMBER((Tasas!C20-Datos!BE20)/Datos!BE20),(Tasas!C20-Datos!BE20)/Datos!BE20," - ")</f>
        <v>0.35762956208876506</v>
      </c>
      <c r="J20" s="365">
        <f>IF(ISNUMBER((Tasas!D20-Datos!BF20)/Datos!BF20),(Tasas!D20-Datos!BF20)/Datos!BF20," - ")</f>
        <v>9.0634095884150084E-2</v>
      </c>
      <c r="K20" s="368">
        <f>IF(ISNUMBER((Tasas!E20-Datos!BG20)/Datos!BG20),(Tasas!E20-Datos!BG20)/Datos!BG20," - ")</f>
        <v>0.11619230891752026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8.3113224159182958E-2</v>
      </c>
      <c r="E21" s="373">
        <f>IF(ISNUMBER(
   IF(J_V="SI",(Datos!J21-Datos!T21)/Datos!T21,(Datos!J21+Datos!Z21-(Datos!T21+Datos!AH21))/(Datos!T21+Datos!AH21))
     ),IF(J_V="SI",(Datos!J21-Datos!T21)/Datos!T21,(Datos!J21+Datos!Z21-(Datos!T21+Datos!AH21))/(Datos!T21+Datos!AH21))," - ")</f>
        <v>0.11639857015192136</v>
      </c>
      <c r="F21" s="373">
        <f>IF(ISNUMBER(
   IF(J_V="SI",(Datos!K21-Datos!U21)/Datos!U21,(Datos!K21+Datos!AA21-(Datos!U21+Datos!AI21))/(Datos!U21+Datos!AI21))
     ),IF(J_V="SI",(Datos!K21-Datos!U21)/Datos!U21,(Datos!K21+Datos!AA21-(Datos!U21+Datos!AI21))/(Datos!U21+Datos!AI21))," - ")</f>
        <v>3.9746300211416494E-2</v>
      </c>
      <c r="G21" s="374">
        <f>IF(ISNUMBER(
   IF(J_V="SI",(Datos!L21-Datos!V21)/Datos!V21,(Datos!L21+Datos!AB21-(Datos!V21+Datos!AJ21))/(Datos!V21+Datos!AJ21))
     ),IF(J_V="SI",(Datos!L21-Datos!V21)/Datos!V21,(Datos!L21+Datos!AB21-(Datos!V21+Datos!AJ21))/(Datos!V21+Datos!AJ21))," - ")</f>
        <v>0.1385564018861081</v>
      </c>
      <c r="H21" s="375">
        <f>IF(ISNUMBER((Datos!M21-Datos!W21)/Datos!W21),(Datos!M21-Datos!W21)/Datos!W21," - ")</f>
        <v>-9.3858632676709158E-2</v>
      </c>
      <c r="I21" s="372">
        <f>IF(ISNUMBER((Tasas!C21-Datos!BE21)/Datos!BE21),(Tasas!C21-Datos!BE21)/Datos!BE21," - ")</f>
        <v>9.5032895673300324E-2</v>
      </c>
      <c r="J21" s="373">
        <f>IF(ISNUMBER((Tasas!D21-Datos!BF21)/Datos!BF21),(Tasas!D21-Datos!BF21)/Datos!BF21," - ")</f>
        <v>-0.41333342638300896</v>
      </c>
      <c r="K21" s="374">
        <f>IF(ISNUMBER((Tasas!E21-Datos!BG21)/Datos!BG21),(Tasas!E21-Datos!BG21)/Datos!BG21," - ")</f>
        <v>5.5819426782392115E-2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0.36411452549302248</v>
      </c>
      <c r="E23" s="283">
        <f t="shared" si="1"/>
        <v>0.3582309495787232</v>
      </c>
      <c r="F23" s="283">
        <f t="shared" si="1"/>
        <v>0.15500321296513025</v>
      </c>
      <c r="G23" s="284">
        <f t="shared" si="1"/>
        <v>0.40332835853737398</v>
      </c>
      <c r="H23" s="290">
        <f t="shared" si="1"/>
        <v>0.13333363792814792</v>
      </c>
      <c r="I23" s="282">
        <f t="shared" si="1"/>
        <v>0.30178975109555506</v>
      </c>
      <c r="J23" s="283">
        <f t="shared" si="1"/>
        <v>0.36464640305217816</v>
      </c>
      <c r="K23" s="284">
        <f t="shared" si="1"/>
        <v>0.17702201548222973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76YSkPsJFlR1P+4p/Vwzja3bXSxYfsm46rOoO41rdrCG73jLlLJgr7cVY5XgZvz4vpV6E+RIwAMz+0cIFWmgdw==" saltValue="IGYxVvbVOPILV8M7xWlJS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